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8.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9.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0.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1.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2.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3.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4.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5.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6.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7.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8.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9.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20.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21.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22.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23.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24.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25.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6.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7.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2"/>
  <workbookPr/>
  <mc:AlternateContent xmlns:mc="http://schemas.openxmlformats.org/markup-compatibility/2006">
    <mc:Choice Requires="x15">
      <x15ac:absPath xmlns:x15ac="http://schemas.microsoft.com/office/spreadsheetml/2010/11/ac" url="/Users/mogk/Desktop/"/>
    </mc:Choice>
  </mc:AlternateContent>
  <xr:revisionPtr revIDLastSave="0" documentId="8_{A3CBB7D7-1FEC-9149-A6B1-A573359DE39C}" xr6:coauthVersionLast="47" xr6:coauthVersionMax="47" xr10:uidLastSave="{00000000-0000-0000-0000-000000000000}"/>
  <bookViews>
    <workbookView xWindow="1720" yWindow="1160" windowWidth="24520" windowHeight="13680" firstSheet="7" activeTab="15" xr2:uid="{00000000-000D-0000-FFFF-FFFF00000000}"/>
  </bookViews>
  <sheets>
    <sheet name="Standard Data" sheetId="48" r:id="rId1"/>
    <sheet name="BCR-2" sheetId="2" r:id="rId2"/>
    <sheet name="StandardsPXRFbox" sheetId="8" r:id="rId3"/>
    <sheet name="TypeStandardization" sheetId="46" r:id="rId4"/>
    <sheet name="GSP-2" sheetId="4" r:id="rId5"/>
    <sheet name="AGV-2" sheetId="3" r:id="rId6"/>
    <sheet name="NOD-P-1" sheetId="5" r:id="rId7"/>
    <sheet name="SBC-1" sheetId="6" r:id="rId8"/>
    <sheet name="SDC-1" sheetId="7" r:id="rId9"/>
    <sheet name="SARM USGS" sheetId="25" r:id="rId10"/>
    <sheet name="2709a" sheetId="16" r:id="rId11"/>
    <sheet name="RCRA" sheetId="42" r:id="rId12"/>
    <sheet name="Till-4" sheetId="17" r:id="rId13"/>
    <sheet name="NIST" sheetId="24" r:id="rId14"/>
    <sheet name="Standard_Testing_3242015" sheetId="1" r:id="rId15"/>
    <sheet name="Magnesium" sheetId="34" r:id="rId16"/>
    <sheet name="Sulfur" sheetId="23" r:id="rId17"/>
    <sheet name="Scandium" sheetId="29" r:id="rId18"/>
    <sheet name="Chromium" sheetId="37" r:id="rId19"/>
    <sheet name="Barium" sheetId="32" r:id="rId20"/>
    <sheet name="Strontium" sheetId="33" r:id="rId21"/>
    <sheet name="GEOSUITE_TEST " sheetId="45" r:id="rId22"/>
    <sheet name="Aluminum" sheetId="44" r:id="rId23"/>
    <sheet name="Arsenic" sheetId="41" r:id="rId24"/>
    <sheet name="Nickel" sheetId="38" r:id="rId25"/>
    <sheet name="Copper" sheetId="39" r:id="rId26"/>
    <sheet name="Elements" sheetId="47" r:id="rId27"/>
    <sheet name="Iron" sheetId="26" r:id="rId28"/>
    <sheet name="Sheet2" sheetId="49" r:id="rId29"/>
    <sheet name="Sheet3" sheetId="50" r:id="rId30"/>
    <sheet name="Sheet4" sheetId="51" r:id="rId31"/>
    <sheet name="Sheet5" sheetId="52" r:id="rId32"/>
    <sheet name="Sheet6" sheetId="53" r:id="rId33"/>
    <sheet name="Sheet7" sheetId="54" r:id="rId34"/>
    <sheet name="Zinc" sheetId="40" r:id="rId35"/>
    <sheet name="Phosphorous" sheetId="35" r:id="rId36"/>
    <sheet name="Niobium" sheetId="43" r:id="rId37"/>
    <sheet name="Vanadium" sheetId="36" r:id="rId38"/>
    <sheet name="Calcium" sheetId="31" r:id="rId39"/>
    <sheet name="Potassium" sheetId="27" r:id="rId40"/>
    <sheet name="Manganese" sheetId="30" r:id="rId41"/>
    <sheet name="Silica_" sheetId="11" r:id="rId42"/>
    <sheet name="Lead" sheetId="19" r:id="rId43"/>
    <sheet name="Thorium" sheetId="21" r:id="rId44"/>
    <sheet name="Titanium" sheetId="15" r:id="rId45"/>
    <sheet name="Zirconium" sheetId="14" r:id="rId4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29" i="48" l="1"/>
  <c r="AO26" i="48"/>
  <c r="AF17" i="48"/>
  <c r="AO14" i="48"/>
  <c r="AF14" i="48"/>
  <c r="L19" i="15" l="1"/>
  <c r="F13" i="15"/>
  <c r="F14" i="15"/>
  <c r="F15" i="15"/>
  <c r="F16" i="15"/>
  <c r="F17" i="15"/>
  <c r="F18" i="15"/>
  <c r="F19" i="15"/>
  <c r="F20" i="15"/>
  <c r="F21" i="15"/>
  <c r="J2" i="14"/>
  <c r="I2" i="14"/>
  <c r="I6" i="25" l="1"/>
  <c r="D4" i="25"/>
  <c r="D9" i="25"/>
  <c r="I6" i="7"/>
  <c r="I7" i="7"/>
  <c r="I9" i="7"/>
  <c r="D4" i="7"/>
  <c r="D5" i="7"/>
  <c r="I8" i="7"/>
  <c r="D9" i="6"/>
  <c r="D11" i="6"/>
  <c r="D5" i="6"/>
  <c r="D7" i="6"/>
  <c r="D10" i="6"/>
  <c r="D3" i="6"/>
  <c r="D6" i="6"/>
  <c r="D6" i="5"/>
  <c r="H4" i="5"/>
  <c r="H7" i="5"/>
  <c r="D7" i="5"/>
  <c r="H6" i="5"/>
  <c r="D5" i="5"/>
  <c r="D8" i="5"/>
  <c r="H21" i="3"/>
  <c r="D25" i="4"/>
  <c r="D24" i="4"/>
  <c r="D23" i="4"/>
  <c r="D22" i="4"/>
  <c r="D21" i="4"/>
  <c r="D20" i="4"/>
  <c r="D19" i="4"/>
  <c r="D18" i="4"/>
  <c r="D17" i="4"/>
  <c r="D16" i="4"/>
  <c r="D15" i="4"/>
  <c r="D14" i="4"/>
  <c r="D23" i="2"/>
  <c r="D22" i="2"/>
  <c r="D21" i="2"/>
  <c r="D20" i="2"/>
  <c r="D19" i="2"/>
  <c r="D18" i="2"/>
  <c r="D17" i="2"/>
  <c r="D16" i="2"/>
  <c r="D15" i="2"/>
  <c r="D14" i="2"/>
  <c r="D13" i="2"/>
  <c r="H22" i="2"/>
  <c r="H21" i="2"/>
  <c r="H20" i="2"/>
  <c r="H19" i="2"/>
  <c r="H17" i="2"/>
  <c r="H16" i="2"/>
  <c r="H15" i="2"/>
  <c r="H14" i="2"/>
  <c r="H13" i="2"/>
  <c r="H18" i="2"/>
  <c r="G14" i="46"/>
  <c r="G15" i="46"/>
  <c r="G16" i="46"/>
  <c r="G17" i="46"/>
  <c r="G18" i="46"/>
  <c r="G19" i="46"/>
  <c r="G20" i="46"/>
  <c r="G21" i="46"/>
  <c r="G22" i="46"/>
  <c r="G23" i="46"/>
  <c r="M8" i="5"/>
  <c r="N8" i="5" s="1"/>
  <c r="H8" i="5" s="1"/>
  <c r="L8" i="5"/>
  <c r="K8" i="5"/>
  <c r="G13" i="46"/>
  <c r="G12" i="46"/>
  <c r="G11" i="46"/>
  <c r="CS11" i="45" l="1"/>
  <c r="I25" i="34" l="1"/>
  <c r="J25" i="34" s="1"/>
  <c r="I26" i="34"/>
  <c r="J26" i="34"/>
  <c r="I27" i="34"/>
  <c r="J27" i="34" s="1"/>
  <c r="I28" i="34"/>
  <c r="J28" i="34" s="1"/>
  <c r="I29" i="34"/>
  <c r="J29" i="34" s="1"/>
  <c r="I30" i="34"/>
  <c r="J30" i="34" s="1"/>
  <c r="I30" i="33"/>
  <c r="I29" i="33"/>
  <c r="I28" i="33"/>
  <c r="I27" i="33"/>
  <c r="I26" i="33"/>
  <c r="I25" i="33"/>
  <c r="E30" i="33"/>
  <c r="J30" i="33" s="1"/>
  <c r="E29" i="33"/>
  <c r="E28" i="33"/>
  <c r="E27" i="33"/>
  <c r="J27" i="33" s="1"/>
  <c r="E26" i="33"/>
  <c r="J26" i="33" s="1"/>
  <c r="E25" i="33"/>
  <c r="J25" i="33" s="1"/>
  <c r="I30" i="32"/>
  <c r="I29" i="32"/>
  <c r="I28" i="32"/>
  <c r="I27" i="32"/>
  <c r="J27" i="32" s="1"/>
  <c r="I26" i="32"/>
  <c r="J26" i="32" s="1"/>
  <c r="I25" i="32"/>
  <c r="J25" i="32" s="1"/>
  <c r="E30" i="32"/>
  <c r="E29" i="32"/>
  <c r="E28" i="32"/>
  <c r="E27" i="32"/>
  <c r="E26" i="32"/>
  <c r="E25" i="32"/>
  <c r="E30" i="14"/>
  <c r="E29" i="14"/>
  <c r="E28" i="14"/>
  <c r="J26" i="14"/>
  <c r="J25" i="14"/>
  <c r="J23" i="14"/>
  <c r="J22" i="14"/>
  <c r="E27" i="14"/>
  <c r="E26" i="14"/>
  <c r="E25" i="14"/>
  <c r="I30" i="14"/>
  <c r="J30" i="14" s="1"/>
  <c r="I29" i="14"/>
  <c r="J29" i="14" s="1"/>
  <c r="I28" i="14"/>
  <c r="J28" i="14" s="1"/>
  <c r="I27" i="14"/>
  <c r="J27" i="14" s="1"/>
  <c r="I26" i="14"/>
  <c r="I25" i="14"/>
  <c r="I24" i="14"/>
  <c r="J24" i="14" s="1"/>
  <c r="I23" i="14"/>
  <c r="I22" i="14"/>
  <c r="E30" i="15"/>
  <c r="F30" i="15" s="1"/>
  <c r="E29" i="15"/>
  <c r="F29" i="15" s="1"/>
  <c r="E28" i="15"/>
  <c r="F28" i="15" s="1"/>
  <c r="K25" i="15"/>
  <c r="K29" i="15"/>
  <c r="E27" i="15"/>
  <c r="F27" i="15" s="1"/>
  <c r="E26" i="15"/>
  <c r="F26" i="15" s="1"/>
  <c r="E25" i="15"/>
  <c r="F25" i="15" s="1"/>
  <c r="K23" i="15"/>
  <c r="K24" i="15"/>
  <c r="E23" i="15"/>
  <c r="F23" i="15" s="1"/>
  <c r="E24" i="15"/>
  <c r="F24" i="15" s="1"/>
  <c r="E22" i="15"/>
  <c r="F22" i="15" s="1"/>
  <c r="J22" i="15"/>
  <c r="J23" i="15"/>
  <c r="J24" i="15"/>
  <c r="J25" i="15"/>
  <c r="J26" i="15"/>
  <c r="K26" i="15" s="1"/>
  <c r="J27" i="15"/>
  <c r="J28" i="15"/>
  <c r="J29" i="15"/>
  <c r="J30" i="15"/>
  <c r="K30" i="15" s="1"/>
  <c r="E30" i="19"/>
  <c r="J30" i="19" s="1"/>
  <c r="E29" i="19"/>
  <c r="J29" i="19" s="1"/>
  <c r="E28" i="19"/>
  <c r="E27" i="19"/>
  <c r="J27" i="19" s="1"/>
  <c r="E26" i="19"/>
  <c r="E25" i="19"/>
  <c r="J25" i="19" s="1"/>
  <c r="E22" i="19"/>
  <c r="E23" i="19"/>
  <c r="E24" i="19"/>
  <c r="J23" i="19"/>
  <c r="J26" i="19"/>
  <c r="I22" i="19"/>
  <c r="J22" i="19" s="1"/>
  <c r="I23" i="19"/>
  <c r="I24" i="19"/>
  <c r="J24" i="19" s="1"/>
  <c r="I25" i="19"/>
  <c r="I26" i="19"/>
  <c r="I27" i="19"/>
  <c r="I28" i="19"/>
  <c r="J28" i="19" s="1"/>
  <c r="I29" i="19"/>
  <c r="I30" i="19"/>
  <c r="E26" i="11"/>
  <c r="J26" i="11" s="1"/>
  <c r="E27" i="11"/>
  <c r="E25" i="11"/>
  <c r="J27" i="11"/>
  <c r="J30" i="11"/>
  <c r="I26" i="11"/>
  <c r="I27" i="11"/>
  <c r="I28" i="11"/>
  <c r="J28" i="11" s="1"/>
  <c r="I29" i="11"/>
  <c r="J29" i="11" s="1"/>
  <c r="I30" i="11"/>
  <c r="I25" i="11"/>
  <c r="D12" i="25"/>
  <c r="J24" i="26"/>
  <c r="J27" i="26"/>
  <c r="J28" i="26"/>
  <c r="J30" i="26"/>
  <c r="E29" i="26"/>
  <c r="J29" i="26" s="1"/>
  <c r="E30" i="26"/>
  <c r="E28" i="26"/>
  <c r="E25" i="26"/>
  <c r="J25" i="26" s="1"/>
  <c r="E26" i="26"/>
  <c r="E27" i="26"/>
  <c r="E23" i="26"/>
  <c r="J23" i="26" s="1"/>
  <c r="E24" i="26"/>
  <c r="E22" i="26"/>
  <c r="I22" i="26"/>
  <c r="J22" i="26" s="1"/>
  <c r="I23" i="26"/>
  <c r="I24" i="26"/>
  <c r="I25" i="26"/>
  <c r="I26" i="26"/>
  <c r="J26" i="26" s="1"/>
  <c r="I27" i="26"/>
  <c r="I28" i="26"/>
  <c r="I29" i="26"/>
  <c r="I30" i="26"/>
  <c r="K6" i="25"/>
  <c r="D7" i="25"/>
  <c r="D6" i="25"/>
  <c r="K22" i="15" l="1"/>
  <c r="J28" i="33"/>
  <c r="J29" i="33"/>
  <c r="K28" i="15"/>
  <c r="J25" i="11"/>
  <c r="K27" i="15"/>
  <c r="J29" i="32"/>
  <c r="J30" i="32"/>
  <c r="J28" i="32"/>
  <c r="I25" i="44"/>
  <c r="I26" i="44"/>
  <c r="I27" i="44"/>
  <c r="E29" i="44"/>
  <c r="J29" i="44" s="1"/>
  <c r="E30" i="44"/>
  <c r="E28" i="44"/>
  <c r="I28" i="44"/>
  <c r="I29" i="44"/>
  <c r="I30" i="44"/>
  <c r="E4" i="44"/>
  <c r="M4" i="44" s="1"/>
  <c r="E5" i="44"/>
  <c r="M5" i="44" s="1"/>
  <c r="E6" i="44"/>
  <c r="M6" i="44" s="1"/>
  <c r="E10" i="44"/>
  <c r="E11" i="44"/>
  <c r="E12" i="44"/>
  <c r="E9" i="44"/>
  <c r="E8" i="44"/>
  <c r="E7" i="44"/>
  <c r="E13" i="44"/>
  <c r="J13" i="44" s="1"/>
  <c r="E14" i="44"/>
  <c r="J14" i="44" s="1"/>
  <c r="E15" i="44"/>
  <c r="J15" i="44" s="1"/>
  <c r="E16" i="44"/>
  <c r="E17" i="44"/>
  <c r="E18" i="44"/>
  <c r="E20" i="44"/>
  <c r="E21" i="44"/>
  <c r="I4" i="44"/>
  <c r="I5" i="44"/>
  <c r="I6" i="44"/>
  <c r="J6" i="44" s="1"/>
  <c r="I7" i="44"/>
  <c r="I8" i="44"/>
  <c r="I9" i="44"/>
  <c r="I10" i="44"/>
  <c r="I11" i="44"/>
  <c r="J11" i="44" s="1"/>
  <c r="I12" i="44"/>
  <c r="I13" i="44"/>
  <c r="I14" i="44"/>
  <c r="I15" i="44"/>
  <c r="I19" i="44"/>
  <c r="I20" i="44"/>
  <c r="I21" i="44"/>
  <c r="J21" i="44" s="1"/>
  <c r="E19" i="44"/>
  <c r="J26" i="44"/>
  <c r="E23" i="44"/>
  <c r="E24" i="44"/>
  <c r="J24" i="44" s="1"/>
  <c r="E22" i="44"/>
  <c r="J22" i="44" s="1"/>
  <c r="I24" i="44"/>
  <c r="I23" i="44"/>
  <c r="I22" i="44"/>
  <c r="I18" i="44"/>
  <c r="I17" i="44"/>
  <c r="I16" i="44"/>
  <c r="I4" i="43"/>
  <c r="J4" i="43" s="1"/>
  <c r="I5" i="43"/>
  <c r="I6" i="43"/>
  <c r="I28" i="43"/>
  <c r="J28" i="43" s="1"/>
  <c r="I29" i="43"/>
  <c r="J29" i="43" s="1"/>
  <c r="I30" i="43"/>
  <c r="I7" i="43"/>
  <c r="I8" i="43"/>
  <c r="I9" i="43"/>
  <c r="I10" i="43"/>
  <c r="I11" i="43"/>
  <c r="I12" i="43"/>
  <c r="I13" i="43"/>
  <c r="I14" i="43"/>
  <c r="J14" i="43" s="1"/>
  <c r="I15" i="43"/>
  <c r="J15" i="43" s="1"/>
  <c r="I16" i="43"/>
  <c r="I17" i="43"/>
  <c r="I18" i="43"/>
  <c r="I19" i="43"/>
  <c r="I20" i="43"/>
  <c r="I21" i="43"/>
  <c r="E7" i="43"/>
  <c r="E8" i="43"/>
  <c r="E9" i="43"/>
  <c r="J9" i="43" s="1"/>
  <c r="E10" i="43"/>
  <c r="J10" i="43" s="1"/>
  <c r="E11" i="43"/>
  <c r="E12" i="43"/>
  <c r="E16" i="43"/>
  <c r="J16" i="43" s="1"/>
  <c r="E17" i="43"/>
  <c r="E18" i="43"/>
  <c r="J18" i="43" s="1"/>
  <c r="E19" i="43"/>
  <c r="E20" i="43"/>
  <c r="E21" i="43"/>
  <c r="E22" i="43"/>
  <c r="E23" i="43"/>
  <c r="E24" i="43"/>
  <c r="J24" i="43" s="1"/>
  <c r="E25" i="43"/>
  <c r="E26" i="43"/>
  <c r="E27" i="43"/>
  <c r="J27" i="43" s="1"/>
  <c r="I27" i="43"/>
  <c r="I26" i="43"/>
  <c r="I25" i="43"/>
  <c r="I24" i="43"/>
  <c r="I23" i="43"/>
  <c r="J23" i="43"/>
  <c r="I22" i="43"/>
  <c r="J13" i="43"/>
  <c r="J6" i="43"/>
  <c r="J5" i="43"/>
  <c r="I28" i="41"/>
  <c r="I29" i="41"/>
  <c r="I30" i="41"/>
  <c r="E29" i="41"/>
  <c r="E30" i="41"/>
  <c r="J30" i="41" s="1"/>
  <c r="E28" i="41"/>
  <c r="I25" i="41"/>
  <c r="I26" i="41"/>
  <c r="I27" i="41"/>
  <c r="E27" i="41"/>
  <c r="J27" i="41" s="1"/>
  <c r="E26" i="41"/>
  <c r="J26" i="41" s="1"/>
  <c r="E25" i="41"/>
  <c r="I24" i="41"/>
  <c r="E24" i="41"/>
  <c r="I23" i="41"/>
  <c r="E23" i="41"/>
  <c r="I22" i="41"/>
  <c r="E22" i="41"/>
  <c r="J20" i="41"/>
  <c r="I18" i="41"/>
  <c r="E18" i="41"/>
  <c r="I17" i="41"/>
  <c r="E17" i="41"/>
  <c r="I16" i="41"/>
  <c r="E16" i="41"/>
  <c r="J15" i="41"/>
  <c r="J14" i="41"/>
  <c r="J13" i="41"/>
  <c r="J11" i="41"/>
  <c r="J9" i="41"/>
  <c r="J7" i="41"/>
  <c r="J6" i="41"/>
  <c r="J5" i="41"/>
  <c r="J4" i="41"/>
  <c r="E4" i="40"/>
  <c r="E5" i="40"/>
  <c r="E6" i="40"/>
  <c r="E7" i="40"/>
  <c r="E8" i="40"/>
  <c r="E9" i="40"/>
  <c r="E10" i="40"/>
  <c r="J10" i="40" s="1"/>
  <c r="E11" i="40"/>
  <c r="J11" i="40" s="1"/>
  <c r="E12" i="40"/>
  <c r="E13" i="40"/>
  <c r="E14" i="40"/>
  <c r="E15" i="40"/>
  <c r="E16" i="40"/>
  <c r="E17" i="40"/>
  <c r="E18" i="40"/>
  <c r="J18" i="40" s="1"/>
  <c r="E19" i="40"/>
  <c r="J19" i="40" s="1"/>
  <c r="E20" i="40"/>
  <c r="E21" i="40"/>
  <c r="E24" i="40"/>
  <c r="E23" i="40"/>
  <c r="E22" i="40"/>
  <c r="I24" i="40"/>
  <c r="I23" i="40"/>
  <c r="I22" i="40"/>
  <c r="J22" i="40"/>
  <c r="I21" i="40"/>
  <c r="J21" i="40" s="1"/>
  <c r="I20" i="40"/>
  <c r="I19" i="40"/>
  <c r="I18" i="40"/>
  <c r="I17" i="40"/>
  <c r="J17" i="40" s="1"/>
  <c r="I16" i="40"/>
  <c r="I15" i="40"/>
  <c r="J15" i="40"/>
  <c r="I14" i="40"/>
  <c r="I13" i="40"/>
  <c r="I12" i="40"/>
  <c r="I11" i="40"/>
  <c r="I10" i="40"/>
  <c r="I9" i="40"/>
  <c r="I8" i="40"/>
  <c r="I7" i="40"/>
  <c r="J7" i="40"/>
  <c r="I6" i="40"/>
  <c r="I5" i="40"/>
  <c r="I4" i="40"/>
  <c r="J4" i="40" s="1"/>
  <c r="E5" i="39"/>
  <c r="E6" i="39"/>
  <c r="E7" i="39"/>
  <c r="J7" i="39" s="1"/>
  <c r="E8" i="39"/>
  <c r="E9" i="39"/>
  <c r="E10" i="39"/>
  <c r="E11" i="39"/>
  <c r="J11" i="39" s="1"/>
  <c r="E12" i="39"/>
  <c r="E13" i="39"/>
  <c r="E14" i="39"/>
  <c r="E15" i="39"/>
  <c r="E16" i="39"/>
  <c r="E17" i="39"/>
  <c r="E18" i="39"/>
  <c r="E19" i="39"/>
  <c r="E20" i="39"/>
  <c r="E21" i="39"/>
  <c r="J21" i="39" s="1"/>
  <c r="E23" i="39"/>
  <c r="J23" i="39" s="1"/>
  <c r="E24" i="39"/>
  <c r="E22" i="39"/>
  <c r="I24" i="39"/>
  <c r="I23" i="39"/>
  <c r="I22" i="39"/>
  <c r="I21" i="39"/>
  <c r="I20" i="39"/>
  <c r="J20" i="39" s="1"/>
  <c r="I19" i="39"/>
  <c r="I18" i="39"/>
  <c r="I17" i="39"/>
  <c r="J17" i="39" s="1"/>
  <c r="I16" i="39"/>
  <c r="I15" i="39"/>
  <c r="I14" i="39"/>
  <c r="I13" i="39"/>
  <c r="I12" i="39"/>
  <c r="I11" i="39"/>
  <c r="I10" i="39"/>
  <c r="J10" i="39"/>
  <c r="J9" i="39"/>
  <c r="I9" i="39"/>
  <c r="I8" i="39"/>
  <c r="I7" i="39"/>
  <c r="I6" i="39"/>
  <c r="I5" i="39"/>
  <c r="J5" i="39"/>
  <c r="E10" i="38"/>
  <c r="E11" i="38"/>
  <c r="E12" i="38"/>
  <c r="E13" i="38"/>
  <c r="J13" i="38" s="1"/>
  <c r="E14" i="38"/>
  <c r="E15" i="38"/>
  <c r="E16" i="38"/>
  <c r="E17" i="38"/>
  <c r="E18" i="38"/>
  <c r="J18" i="38" s="1"/>
  <c r="E21" i="38"/>
  <c r="E20" i="38"/>
  <c r="E19" i="38"/>
  <c r="E23" i="38"/>
  <c r="E24" i="38"/>
  <c r="E22" i="38"/>
  <c r="I24" i="38"/>
  <c r="I23" i="38"/>
  <c r="I22" i="38"/>
  <c r="I21" i="38"/>
  <c r="I20" i="38"/>
  <c r="I19" i="38"/>
  <c r="J19" i="38" s="1"/>
  <c r="I18" i="38"/>
  <c r="I17" i="38"/>
  <c r="I16" i="38"/>
  <c r="J16" i="38" s="1"/>
  <c r="I15" i="38"/>
  <c r="I14" i="38"/>
  <c r="J14" i="38" s="1"/>
  <c r="I13" i="38"/>
  <c r="I12" i="38"/>
  <c r="I11" i="38"/>
  <c r="J11" i="38" s="1"/>
  <c r="I10" i="38"/>
  <c r="J10" i="38" s="1"/>
  <c r="I9" i="38"/>
  <c r="J9" i="38"/>
  <c r="I8" i="38"/>
  <c r="J8" i="38"/>
  <c r="I7" i="38"/>
  <c r="J7" i="38" s="1"/>
  <c r="I6" i="38"/>
  <c r="I5" i="38"/>
  <c r="J5" i="38" s="1"/>
  <c r="I4" i="38"/>
  <c r="I13" i="37"/>
  <c r="J13" i="37" s="1"/>
  <c r="I14" i="37"/>
  <c r="J14" i="37" s="1"/>
  <c r="I15" i="37"/>
  <c r="J15" i="37"/>
  <c r="I5" i="37"/>
  <c r="J5" i="37" s="1"/>
  <c r="I24" i="37"/>
  <c r="E24" i="37"/>
  <c r="I23" i="37"/>
  <c r="E23" i="37"/>
  <c r="J23" i="37" s="1"/>
  <c r="I22" i="37"/>
  <c r="E22" i="37"/>
  <c r="I21" i="37"/>
  <c r="E21" i="37"/>
  <c r="I20" i="37"/>
  <c r="E20" i="37"/>
  <c r="I19" i="37"/>
  <c r="E19" i="37"/>
  <c r="I18" i="37"/>
  <c r="E18" i="37"/>
  <c r="I17" i="37"/>
  <c r="E17" i="37"/>
  <c r="I16" i="37"/>
  <c r="E16" i="37"/>
  <c r="I12" i="37"/>
  <c r="E12" i="37"/>
  <c r="I11" i="37"/>
  <c r="E11" i="37"/>
  <c r="I10" i="37"/>
  <c r="E10" i="37"/>
  <c r="I9" i="37"/>
  <c r="E9" i="37"/>
  <c r="I8" i="37"/>
  <c r="E8" i="37"/>
  <c r="I7" i="37"/>
  <c r="E7" i="37"/>
  <c r="I6" i="37"/>
  <c r="E6" i="37"/>
  <c r="J6" i="37" s="1"/>
  <c r="I4" i="37"/>
  <c r="E4" i="37"/>
  <c r="E4" i="36"/>
  <c r="E5" i="36"/>
  <c r="E6" i="36"/>
  <c r="E7" i="36"/>
  <c r="E8" i="36"/>
  <c r="J8" i="36" s="1"/>
  <c r="E9" i="36"/>
  <c r="E10" i="36"/>
  <c r="E11" i="36"/>
  <c r="J11" i="36" s="1"/>
  <c r="E12" i="36"/>
  <c r="E13" i="36"/>
  <c r="E14" i="36"/>
  <c r="E15" i="36"/>
  <c r="E16" i="36"/>
  <c r="E17" i="36"/>
  <c r="E18" i="36"/>
  <c r="E22" i="36"/>
  <c r="E23" i="36"/>
  <c r="E24" i="36"/>
  <c r="E20" i="36"/>
  <c r="E21" i="36"/>
  <c r="E19" i="36"/>
  <c r="J19" i="36" s="1"/>
  <c r="I24" i="36"/>
  <c r="I23" i="36"/>
  <c r="J23" i="36" s="1"/>
  <c r="I22" i="36"/>
  <c r="I21" i="36"/>
  <c r="I20" i="36"/>
  <c r="I19" i="36"/>
  <c r="I18" i="36"/>
  <c r="I17" i="36"/>
  <c r="I16" i="36"/>
  <c r="J16" i="36" s="1"/>
  <c r="I15" i="36"/>
  <c r="I14" i="36"/>
  <c r="I13" i="36"/>
  <c r="I12" i="36"/>
  <c r="I11" i="36"/>
  <c r="I10" i="36"/>
  <c r="J9" i="36"/>
  <c r="I9" i="36"/>
  <c r="I8" i="36"/>
  <c r="I7" i="36"/>
  <c r="I6" i="36"/>
  <c r="I5" i="36"/>
  <c r="I4" i="36"/>
  <c r="H10" i="3"/>
  <c r="E13" i="35"/>
  <c r="E14" i="35"/>
  <c r="E15" i="35"/>
  <c r="E16" i="35"/>
  <c r="E17" i="35"/>
  <c r="E18" i="35"/>
  <c r="E20" i="35"/>
  <c r="E21" i="35"/>
  <c r="E19" i="35"/>
  <c r="P9" i="7"/>
  <c r="S9" i="7" s="1"/>
  <c r="O9" i="7"/>
  <c r="Q9" i="7" s="1"/>
  <c r="R9" i="7" s="1"/>
  <c r="N9" i="7"/>
  <c r="I24" i="35"/>
  <c r="E24" i="35"/>
  <c r="I23" i="35"/>
  <c r="E23" i="35"/>
  <c r="I22" i="35"/>
  <c r="E22" i="35"/>
  <c r="J22" i="35" s="1"/>
  <c r="I21" i="35"/>
  <c r="J20" i="35"/>
  <c r="I20" i="35"/>
  <c r="I19" i="35"/>
  <c r="I18" i="35"/>
  <c r="I17" i="35"/>
  <c r="J17" i="35"/>
  <c r="I16" i="35"/>
  <c r="I15" i="35"/>
  <c r="I14" i="35"/>
  <c r="I13" i="35"/>
  <c r="I12" i="35"/>
  <c r="J12" i="35" s="1"/>
  <c r="E12" i="35"/>
  <c r="I11" i="35"/>
  <c r="E11" i="35"/>
  <c r="I10" i="35"/>
  <c r="E10" i="35"/>
  <c r="J10" i="35" s="1"/>
  <c r="I9" i="35"/>
  <c r="E9" i="35"/>
  <c r="I8" i="35"/>
  <c r="E8" i="35"/>
  <c r="I7" i="35"/>
  <c r="J7" i="35" s="1"/>
  <c r="E7" i="35"/>
  <c r="I6" i="35"/>
  <c r="E6" i="35"/>
  <c r="I5" i="35"/>
  <c r="E5" i="35"/>
  <c r="J5" i="35" s="1"/>
  <c r="I4" i="35"/>
  <c r="E4" i="35"/>
  <c r="E7" i="34"/>
  <c r="J7" i="34" s="1"/>
  <c r="E8" i="34"/>
  <c r="E9" i="34"/>
  <c r="E10" i="34"/>
  <c r="E11" i="34"/>
  <c r="E12" i="34"/>
  <c r="E13" i="34"/>
  <c r="J13" i="34" s="1"/>
  <c r="E14" i="34"/>
  <c r="E15" i="34"/>
  <c r="E16" i="34"/>
  <c r="E17" i="34"/>
  <c r="E18" i="34"/>
  <c r="E19" i="34"/>
  <c r="J19" i="34" s="1"/>
  <c r="E20" i="34"/>
  <c r="E21" i="34"/>
  <c r="E23" i="34"/>
  <c r="E24" i="34"/>
  <c r="J24" i="34" s="1"/>
  <c r="E22" i="34"/>
  <c r="I24" i="34"/>
  <c r="I23" i="34"/>
  <c r="I22" i="34"/>
  <c r="I21" i="34"/>
  <c r="I20" i="34"/>
  <c r="J20" i="34" s="1"/>
  <c r="I19" i="34"/>
  <c r="I18" i="34"/>
  <c r="J18" i="34"/>
  <c r="I17" i="34"/>
  <c r="I16" i="34"/>
  <c r="I15" i="34"/>
  <c r="I14" i="34"/>
  <c r="I13" i="34"/>
  <c r="I12" i="34"/>
  <c r="J12" i="34" s="1"/>
  <c r="I11" i="34"/>
  <c r="I10" i="34"/>
  <c r="I9" i="34"/>
  <c r="I8" i="34"/>
  <c r="I7" i="34"/>
  <c r="I6" i="34"/>
  <c r="E6" i="34"/>
  <c r="I5" i="34"/>
  <c r="E5" i="34"/>
  <c r="I4" i="34"/>
  <c r="E4" i="34"/>
  <c r="J4" i="34" s="1"/>
  <c r="E4" i="33"/>
  <c r="E5" i="33"/>
  <c r="E6" i="33"/>
  <c r="E7" i="33"/>
  <c r="E8" i="33"/>
  <c r="E9" i="33"/>
  <c r="E10" i="33"/>
  <c r="J10" i="33" s="1"/>
  <c r="E11" i="33"/>
  <c r="E12" i="33"/>
  <c r="J12" i="33" s="1"/>
  <c r="E13" i="33"/>
  <c r="E14" i="33"/>
  <c r="E15" i="33"/>
  <c r="E16" i="33"/>
  <c r="E17" i="33"/>
  <c r="E18" i="33"/>
  <c r="E19" i="33"/>
  <c r="E20" i="33"/>
  <c r="E21" i="33"/>
  <c r="J22" i="33"/>
  <c r="J23" i="33"/>
  <c r="E23" i="33"/>
  <c r="E24" i="33"/>
  <c r="J24" i="33" s="1"/>
  <c r="E22" i="33"/>
  <c r="I24" i="33"/>
  <c r="I23" i="33"/>
  <c r="I22" i="33"/>
  <c r="I21" i="33"/>
  <c r="J21" i="33" s="1"/>
  <c r="I20" i="33"/>
  <c r="J20" i="33"/>
  <c r="I19" i="33"/>
  <c r="I18" i="33"/>
  <c r="I17" i="33"/>
  <c r="I16" i="33"/>
  <c r="I15" i="33"/>
  <c r="J15" i="33" s="1"/>
  <c r="I14" i="33"/>
  <c r="I13" i="33"/>
  <c r="I12" i="33"/>
  <c r="I11" i="33"/>
  <c r="J11" i="33" s="1"/>
  <c r="I10" i="33"/>
  <c r="I9" i="33"/>
  <c r="I8" i="33"/>
  <c r="I7" i="33"/>
  <c r="J7" i="33"/>
  <c r="I6" i="33"/>
  <c r="I5" i="33"/>
  <c r="J5" i="33" s="1"/>
  <c r="I4" i="33"/>
  <c r="E4" i="32"/>
  <c r="E5" i="32"/>
  <c r="E6" i="32"/>
  <c r="E7" i="32"/>
  <c r="E8" i="32"/>
  <c r="J8" i="32" s="1"/>
  <c r="E9" i="32"/>
  <c r="E10" i="32"/>
  <c r="J10" i="32" s="1"/>
  <c r="E11" i="32"/>
  <c r="E12" i="32"/>
  <c r="E13" i="32"/>
  <c r="E14" i="32"/>
  <c r="E15" i="32"/>
  <c r="J15" i="32" s="1"/>
  <c r="E16" i="32"/>
  <c r="E17" i="32"/>
  <c r="J17" i="32" s="1"/>
  <c r="E18" i="32"/>
  <c r="J18" i="32" s="1"/>
  <c r="E19" i="32"/>
  <c r="E20" i="32"/>
  <c r="J20" i="32" s="1"/>
  <c r="E21" i="32"/>
  <c r="E23" i="32"/>
  <c r="J23" i="32" s="1"/>
  <c r="E24" i="32"/>
  <c r="E22" i="32"/>
  <c r="I22" i="32"/>
  <c r="I23" i="32"/>
  <c r="I24" i="32"/>
  <c r="I21" i="32"/>
  <c r="I20" i="32"/>
  <c r="I19" i="32"/>
  <c r="I18" i="32"/>
  <c r="I17" i="32"/>
  <c r="I16" i="32"/>
  <c r="I15" i="32"/>
  <c r="I14" i="32"/>
  <c r="I13" i="32"/>
  <c r="J13" i="32" s="1"/>
  <c r="I12" i="32"/>
  <c r="I11" i="32"/>
  <c r="I10" i="32"/>
  <c r="I9" i="32"/>
  <c r="I8" i="32"/>
  <c r="I7" i="32"/>
  <c r="J7" i="32"/>
  <c r="I6" i="32"/>
  <c r="I5" i="32"/>
  <c r="I4" i="32"/>
  <c r="E13" i="31"/>
  <c r="E14" i="31"/>
  <c r="E15" i="31"/>
  <c r="J15" i="31" s="1"/>
  <c r="E16" i="31"/>
  <c r="E17" i="31"/>
  <c r="E18" i="31"/>
  <c r="J18" i="31" s="1"/>
  <c r="E20" i="31"/>
  <c r="J20" i="31" s="1"/>
  <c r="E21" i="31"/>
  <c r="E19" i="31"/>
  <c r="E23" i="31"/>
  <c r="J23" i="31" s="1"/>
  <c r="E24" i="31"/>
  <c r="E22" i="31"/>
  <c r="I24" i="31"/>
  <c r="J24" i="31" s="1"/>
  <c r="I23" i="31"/>
  <c r="I22" i="31"/>
  <c r="I21" i="31"/>
  <c r="J21" i="31"/>
  <c r="I20" i="31"/>
  <c r="I19" i="31"/>
  <c r="I18" i="31"/>
  <c r="I17" i="31"/>
  <c r="I16" i="31"/>
  <c r="I15" i="31"/>
  <c r="I14" i="31"/>
  <c r="I13" i="31"/>
  <c r="J13" i="31" s="1"/>
  <c r="I12" i="31"/>
  <c r="E12" i="31"/>
  <c r="I11" i="31"/>
  <c r="E11" i="31"/>
  <c r="I10" i="31"/>
  <c r="E10" i="31"/>
  <c r="I9" i="31"/>
  <c r="E9" i="31"/>
  <c r="I8" i="31"/>
  <c r="E8" i="31"/>
  <c r="I7" i="31"/>
  <c r="E7" i="31"/>
  <c r="I6" i="31"/>
  <c r="E6" i="31"/>
  <c r="J6" i="31" s="1"/>
  <c r="I5" i="31"/>
  <c r="E5" i="31"/>
  <c r="I4" i="31"/>
  <c r="E4" i="31"/>
  <c r="J4" i="31" s="1"/>
  <c r="E13" i="30"/>
  <c r="E14" i="30"/>
  <c r="E15" i="30"/>
  <c r="E17" i="30"/>
  <c r="J17" i="30" s="1"/>
  <c r="E18" i="30"/>
  <c r="E16" i="30"/>
  <c r="E4" i="30"/>
  <c r="E5" i="30"/>
  <c r="E6" i="30"/>
  <c r="E7" i="30"/>
  <c r="E8" i="30"/>
  <c r="E9" i="30"/>
  <c r="J9" i="30" s="1"/>
  <c r="E10" i="30"/>
  <c r="E11" i="30"/>
  <c r="E12" i="30"/>
  <c r="E19" i="30"/>
  <c r="E20" i="30"/>
  <c r="E21" i="30"/>
  <c r="E23" i="30"/>
  <c r="E24" i="30"/>
  <c r="E22" i="30"/>
  <c r="I24" i="30"/>
  <c r="I23" i="30"/>
  <c r="I22" i="30"/>
  <c r="I21" i="30"/>
  <c r="J21" i="30"/>
  <c r="I20" i="30"/>
  <c r="J20" i="30" s="1"/>
  <c r="I19" i="30"/>
  <c r="I18" i="30"/>
  <c r="I17" i="30"/>
  <c r="I16" i="30"/>
  <c r="I15" i="30"/>
  <c r="J15" i="30" s="1"/>
  <c r="I14" i="30"/>
  <c r="I13" i="30"/>
  <c r="I12" i="30"/>
  <c r="J12" i="30" s="1"/>
  <c r="I11" i="30"/>
  <c r="I10" i="30"/>
  <c r="I9" i="30"/>
  <c r="I8" i="30"/>
  <c r="I7" i="30"/>
  <c r="I6" i="30"/>
  <c r="I5" i="30"/>
  <c r="I4" i="30"/>
  <c r="I24" i="29"/>
  <c r="J24" i="29" s="1"/>
  <c r="I23" i="29"/>
  <c r="J23" i="29"/>
  <c r="I22" i="29"/>
  <c r="J22" i="29" s="1"/>
  <c r="I21" i="29"/>
  <c r="J21" i="29" s="1"/>
  <c r="I20" i="29"/>
  <c r="J20" i="29"/>
  <c r="I19" i="29"/>
  <c r="J19" i="29" s="1"/>
  <c r="I18" i="29"/>
  <c r="J18" i="29"/>
  <c r="I17" i="29"/>
  <c r="J17" i="29" s="1"/>
  <c r="I16" i="29"/>
  <c r="J16" i="29" s="1"/>
  <c r="I15" i="29"/>
  <c r="J15" i="29" s="1"/>
  <c r="I14" i="29"/>
  <c r="J14" i="29" s="1"/>
  <c r="I13" i="29"/>
  <c r="J13" i="29" s="1"/>
  <c r="I12" i="29"/>
  <c r="J12" i="29" s="1"/>
  <c r="I11" i="29"/>
  <c r="J11" i="29" s="1"/>
  <c r="I10" i="29"/>
  <c r="I9" i="29"/>
  <c r="J9" i="29" s="1"/>
  <c r="I8" i="29"/>
  <c r="J8" i="29" s="1"/>
  <c r="I7" i="29"/>
  <c r="I6" i="29"/>
  <c r="J6" i="29" s="1"/>
  <c r="I5" i="29"/>
  <c r="J5" i="29"/>
  <c r="I4" i="29"/>
  <c r="J4" i="29" s="1"/>
  <c r="E4" i="27"/>
  <c r="E5" i="27"/>
  <c r="E6" i="27"/>
  <c r="E10" i="27"/>
  <c r="E11" i="27"/>
  <c r="E12" i="27"/>
  <c r="E8" i="27"/>
  <c r="E9" i="27"/>
  <c r="E7" i="27"/>
  <c r="E13" i="27"/>
  <c r="E14" i="27"/>
  <c r="E15" i="27"/>
  <c r="E16" i="27"/>
  <c r="E17" i="27"/>
  <c r="E18" i="27"/>
  <c r="E19" i="27"/>
  <c r="E20" i="27"/>
  <c r="E21" i="27"/>
  <c r="I5" i="7"/>
  <c r="N16" i="16"/>
  <c r="D21" i="24"/>
  <c r="E21" i="24" s="1"/>
  <c r="F21" i="24" s="1"/>
  <c r="I22" i="27"/>
  <c r="I23" i="27"/>
  <c r="J23" i="27" s="1"/>
  <c r="I24" i="27"/>
  <c r="E23" i="27"/>
  <c r="E24" i="27"/>
  <c r="J24" i="27" s="1"/>
  <c r="E22" i="27"/>
  <c r="J22" i="27" s="1"/>
  <c r="J13" i="30" l="1"/>
  <c r="J19" i="33"/>
  <c r="J9" i="34"/>
  <c r="J17" i="34"/>
  <c r="J15" i="34"/>
  <c r="J16" i="35"/>
  <c r="J4" i="36"/>
  <c r="J7" i="37"/>
  <c r="J20" i="37"/>
  <c r="J19" i="39"/>
  <c r="J8" i="40"/>
  <c r="J6" i="40"/>
  <c r="J16" i="30"/>
  <c r="J18" i="39"/>
  <c r="J8" i="39"/>
  <c r="J22" i="39"/>
  <c r="J14" i="40"/>
  <c r="J16" i="41"/>
  <c r="J4" i="44"/>
  <c r="J22" i="32"/>
  <c r="J4" i="32"/>
  <c r="J17" i="36"/>
  <c r="J24" i="32"/>
  <c r="J4" i="33"/>
  <c r="J5" i="34"/>
  <c r="J18" i="35"/>
  <c r="J8" i="37"/>
  <c r="J17" i="38"/>
  <c r="J23" i="40"/>
  <c r="J13" i="40"/>
  <c r="J29" i="41"/>
  <c r="J5" i="44"/>
  <c r="J7" i="44"/>
  <c r="J19" i="30"/>
  <c r="J12" i="32"/>
  <c r="J11" i="34"/>
  <c r="J5" i="36"/>
  <c r="J22" i="37"/>
  <c r="J15" i="39"/>
  <c r="J17" i="43"/>
  <c r="J8" i="44"/>
  <c r="J25" i="41"/>
  <c r="J18" i="41"/>
  <c r="J28" i="41"/>
  <c r="J20" i="44"/>
  <c r="J12" i="44"/>
  <c r="J11" i="31"/>
  <c r="J16" i="33"/>
  <c r="J17" i="33"/>
  <c r="J14" i="34"/>
  <c r="J8" i="43"/>
  <c r="J17" i="44"/>
  <c r="J8" i="33"/>
  <c r="J7" i="31"/>
  <c r="J12" i="31"/>
  <c r="J19" i="31"/>
  <c r="J9" i="33"/>
  <c r="J18" i="33"/>
  <c r="J9" i="35"/>
  <c r="J22" i="41"/>
  <c r="J7" i="43"/>
  <c r="J19" i="44"/>
  <c r="J9" i="44"/>
  <c r="J10" i="44"/>
  <c r="J16" i="44"/>
  <c r="J25" i="44"/>
  <c r="J23" i="44"/>
  <c r="J30" i="44"/>
  <c r="J18" i="44"/>
  <c r="J27" i="44"/>
  <c r="J28" i="44"/>
  <c r="J12" i="43"/>
  <c r="J21" i="43"/>
  <c r="J20" i="43"/>
  <c r="J19" i="43"/>
  <c r="J11" i="43"/>
  <c r="J22" i="43"/>
  <c r="J30" i="43"/>
  <c r="J25" i="43"/>
  <c r="J26" i="43"/>
  <c r="J17" i="41"/>
  <c r="J8" i="41"/>
  <c r="J23" i="41"/>
  <c r="J21" i="41"/>
  <c r="J12" i="41"/>
  <c r="J24" i="41"/>
  <c r="J19" i="41"/>
  <c r="J10" i="41"/>
  <c r="J9" i="40"/>
  <c r="J12" i="40"/>
  <c r="J16" i="40"/>
  <c r="J20" i="40"/>
  <c r="J24" i="40"/>
  <c r="J5" i="40"/>
  <c r="J12" i="39"/>
  <c r="J14" i="39"/>
  <c r="J6" i="39"/>
  <c r="J24" i="39"/>
  <c r="J16" i="39"/>
  <c r="J13" i="39"/>
  <c r="J4" i="38"/>
  <c r="J6" i="38"/>
  <c r="J12" i="38"/>
  <c r="J15" i="38"/>
  <c r="J20" i="38"/>
  <c r="J23" i="38"/>
  <c r="J22" i="38"/>
  <c r="J24" i="38"/>
  <c r="J21" i="38"/>
  <c r="J9" i="37"/>
  <c r="J10" i="37"/>
  <c r="J17" i="37"/>
  <c r="J18" i="37"/>
  <c r="J16" i="37"/>
  <c r="J21" i="37"/>
  <c r="J24" i="37"/>
  <c r="J4" i="37"/>
  <c r="J11" i="37"/>
  <c r="J12" i="37"/>
  <c r="J19" i="37"/>
  <c r="J7" i="36"/>
  <c r="J12" i="36"/>
  <c r="J10" i="36"/>
  <c r="J15" i="36"/>
  <c r="J18" i="36"/>
  <c r="J20" i="36"/>
  <c r="J22" i="36"/>
  <c r="J6" i="36"/>
  <c r="J13" i="36"/>
  <c r="J24" i="36"/>
  <c r="J14" i="36"/>
  <c r="J21" i="36"/>
  <c r="J4" i="35"/>
  <c r="J8" i="35"/>
  <c r="J11" i="35"/>
  <c r="J15" i="35"/>
  <c r="J19" i="35"/>
  <c r="J24" i="35"/>
  <c r="J23" i="35"/>
  <c r="J6" i="35"/>
  <c r="J13" i="35"/>
  <c r="J14" i="35"/>
  <c r="J21" i="35"/>
  <c r="J6" i="34"/>
  <c r="J8" i="34"/>
  <c r="J16" i="34"/>
  <c r="J22" i="34"/>
  <c r="J23" i="34"/>
  <c r="J10" i="34"/>
  <c r="J21" i="34"/>
  <c r="J4" i="30"/>
  <c r="J5" i="30"/>
  <c r="J8" i="30"/>
  <c r="J6" i="33"/>
  <c r="J13" i="33"/>
  <c r="J14" i="33"/>
  <c r="J5" i="32"/>
  <c r="J21" i="32"/>
  <c r="J19" i="32"/>
  <c r="J6" i="32"/>
  <c r="J14" i="32"/>
  <c r="J11" i="32"/>
  <c r="J9" i="32"/>
  <c r="J16" i="32"/>
  <c r="J5" i="31"/>
  <c r="J9" i="31"/>
  <c r="J8" i="31"/>
  <c r="J14" i="31"/>
  <c r="J17" i="31"/>
  <c r="J16" i="31"/>
  <c r="J22" i="31"/>
  <c r="J10" i="31"/>
  <c r="J11" i="30"/>
  <c r="J6" i="30"/>
  <c r="J10" i="30"/>
  <c r="J14" i="30"/>
  <c r="J18" i="30"/>
  <c r="J23" i="30"/>
  <c r="J22" i="30"/>
  <c r="J24" i="30"/>
  <c r="J7" i="30"/>
  <c r="J10" i="29"/>
  <c r="J7" i="29"/>
  <c r="I21" i="27"/>
  <c r="J21" i="27" s="1"/>
  <c r="I20" i="27"/>
  <c r="J20" i="27" s="1"/>
  <c r="I19" i="27"/>
  <c r="J19" i="27" s="1"/>
  <c r="I18" i="27"/>
  <c r="J18" i="27" s="1"/>
  <c r="I17" i="27"/>
  <c r="I16" i="27"/>
  <c r="I15" i="27"/>
  <c r="I14" i="27"/>
  <c r="I13" i="27"/>
  <c r="I12" i="27"/>
  <c r="J12" i="27" s="1"/>
  <c r="I11" i="27"/>
  <c r="J11" i="27" s="1"/>
  <c r="I10" i="27"/>
  <c r="J10" i="27" s="1"/>
  <c r="I9" i="27"/>
  <c r="J9" i="27" s="1"/>
  <c r="I8" i="27"/>
  <c r="J8" i="27" s="1"/>
  <c r="I7" i="27"/>
  <c r="J7" i="27" s="1"/>
  <c r="I6" i="27"/>
  <c r="J6" i="27" s="1"/>
  <c r="I5" i="27"/>
  <c r="J5" i="27" s="1"/>
  <c r="I4" i="27"/>
  <c r="J4" i="27" s="1"/>
  <c r="H5" i="2"/>
  <c r="H6" i="4"/>
  <c r="H6" i="3"/>
  <c r="E13" i="26"/>
  <c r="J13" i="26" s="1"/>
  <c r="E14" i="26"/>
  <c r="E15" i="26"/>
  <c r="E17" i="26"/>
  <c r="E18" i="26"/>
  <c r="J18" i="26" s="1"/>
  <c r="E16" i="26"/>
  <c r="D4" i="6"/>
  <c r="D8" i="7"/>
  <c r="D6" i="7"/>
  <c r="D7" i="7"/>
  <c r="AW41" i="1"/>
  <c r="AV40" i="1"/>
  <c r="AW40" i="1" s="1"/>
  <c r="AW42" i="1" s="1"/>
  <c r="I21" i="26"/>
  <c r="J21" i="26" s="1"/>
  <c r="I20" i="26"/>
  <c r="I19" i="26"/>
  <c r="I18" i="26"/>
  <c r="I17" i="26"/>
  <c r="I16" i="26"/>
  <c r="J16" i="26" s="1"/>
  <c r="I15" i="26"/>
  <c r="I14" i="26"/>
  <c r="J14" i="26"/>
  <c r="I13" i="26"/>
  <c r="I12" i="26"/>
  <c r="I11" i="26"/>
  <c r="I10" i="26"/>
  <c r="J10" i="26" s="1"/>
  <c r="I9" i="26"/>
  <c r="J9" i="26"/>
  <c r="I8" i="26"/>
  <c r="J8" i="26"/>
  <c r="I7" i="26"/>
  <c r="J7" i="26"/>
  <c r="I6" i="26"/>
  <c r="I5" i="26"/>
  <c r="J5" i="26"/>
  <c r="I4" i="26"/>
  <c r="J4" i="26" s="1"/>
  <c r="I25" i="23"/>
  <c r="J25" i="23" s="1"/>
  <c r="I26" i="23"/>
  <c r="J26" i="23" s="1"/>
  <c r="I27" i="23"/>
  <c r="J27" i="23" s="1"/>
  <c r="I23" i="23"/>
  <c r="I24" i="23"/>
  <c r="I22" i="23"/>
  <c r="J22" i="23"/>
  <c r="E23" i="23"/>
  <c r="J23" i="23" s="1"/>
  <c r="E24" i="23"/>
  <c r="E22" i="23"/>
  <c r="E21" i="23"/>
  <c r="E21" i="19"/>
  <c r="E21" i="21"/>
  <c r="E20" i="23"/>
  <c r="I21" i="23"/>
  <c r="J21" i="23" s="1"/>
  <c r="I20" i="23"/>
  <c r="J20" i="23"/>
  <c r="I19" i="23"/>
  <c r="E19" i="23"/>
  <c r="I18" i="23"/>
  <c r="J18" i="23"/>
  <c r="I17" i="23"/>
  <c r="I16" i="23"/>
  <c r="I15" i="23"/>
  <c r="E15" i="23"/>
  <c r="J15" i="23" s="1"/>
  <c r="I14" i="23"/>
  <c r="E14" i="23"/>
  <c r="J14" i="23" s="1"/>
  <c r="I13" i="23"/>
  <c r="E13" i="23"/>
  <c r="I12" i="23"/>
  <c r="E12" i="23"/>
  <c r="I11" i="23"/>
  <c r="E11" i="23"/>
  <c r="I10" i="23"/>
  <c r="E10" i="23"/>
  <c r="I9" i="23"/>
  <c r="E9" i="23"/>
  <c r="J9" i="23" s="1"/>
  <c r="I8" i="23"/>
  <c r="E8" i="23"/>
  <c r="I7" i="23"/>
  <c r="E7" i="23"/>
  <c r="J7" i="23" s="1"/>
  <c r="I6" i="23"/>
  <c r="E6" i="23"/>
  <c r="J6" i="23" s="1"/>
  <c r="I5" i="23"/>
  <c r="E5" i="23"/>
  <c r="I4" i="23"/>
  <c r="E4" i="23"/>
  <c r="J4" i="23" s="1"/>
  <c r="I21" i="21"/>
  <c r="I20" i="21"/>
  <c r="E20" i="21"/>
  <c r="I19" i="21"/>
  <c r="E19" i="21"/>
  <c r="I18" i="21"/>
  <c r="E18" i="21"/>
  <c r="J18" i="21" s="1"/>
  <c r="I17" i="21"/>
  <c r="E17" i="21"/>
  <c r="I16" i="21"/>
  <c r="E16" i="21"/>
  <c r="I9" i="21"/>
  <c r="E9" i="21"/>
  <c r="I8" i="21"/>
  <c r="E8" i="21"/>
  <c r="I7" i="21"/>
  <c r="E7" i="21"/>
  <c r="J11" i="19"/>
  <c r="J20" i="19"/>
  <c r="E4" i="19"/>
  <c r="E5" i="19"/>
  <c r="J5" i="19" s="1"/>
  <c r="E6" i="19"/>
  <c r="E7" i="19"/>
  <c r="E8" i="19"/>
  <c r="J8" i="19" s="1"/>
  <c r="E9" i="19"/>
  <c r="E10" i="19"/>
  <c r="J10" i="19" s="1"/>
  <c r="E11" i="19"/>
  <c r="E12" i="19"/>
  <c r="J12" i="19" s="1"/>
  <c r="E13" i="19"/>
  <c r="J13" i="19" s="1"/>
  <c r="E14" i="19"/>
  <c r="E15" i="19"/>
  <c r="J15" i="19" s="1"/>
  <c r="E16" i="19"/>
  <c r="E17" i="19"/>
  <c r="E18" i="19"/>
  <c r="J18" i="19" s="1"/>
  <c r="E19" i="19"/>
  <c r="J19" i="19" s="1"/>
  <c r="E20" i="19"/>
  <c r="I21" i="19"/>
  <c r="I20" i="19"/>
  <c r="I19" i="19"/>
  <c r="I18" i="19"/>
  <c r="I17" i="19"/>
  <c r="I16" i="19"/>
  <c r="I15" i="19"/>
  <c r="I14" i="19"/>
  <c r="I13" i="19"/>
  <c r="I12" i="19"/>
  <c r="I11" i="19"/>
  <c r="I10" i="19"/>
  <c r="I9" i="19"/>
  <c r="I8" i="19"/>
  <c r="I7" i="19"/>
  <c r="I6" i="19"/>
  <c r="I5" i="19"/>
  <c r="I4" i="19"/>
  <c r="K14" i="15"/>
  <c r="K15" i="15"/>
  <c r="K16" i="15"/>
  <c r="K19" i="15"/>
  <c r="J5" i="15"/>
  <c r="J6" i="15"/>
  <c r="J7" i="15"/>
  <c r="J8" i="15"/>
  <c r="J9" i="15"/>
  <c r="J10" i="15"/>
  <c r="J11" i="15"/>
  <c r="J12" i="15"/>
  <c r="J13" i="15"/>
  <c r="K13" i="15" s="1"/>
  <c r="J14" i="15"/>
  <c r="J15" i="15"/>
  <c r="J16" i="15"/>
  <c r="J17" i="15"/>
  <c r="K17" i="15" s="1"/>
  <c r="J18" i="15"/>
  <c r="K18" i="15" s="1"/>
  <c r="J19" i="15"/>
  <c r="J20" i="15"/>
  <c r="K20" i="15" s="1"/>
  <c r="J21" i="15"/>
  <c r="K21" i="15" s="1"/>
  <c r="J4" i="15"/>
  <c r="J5" i="23" l="1"/>
  <c r="J17" i="19"/>
  <c r="J7" i="19"/>
  <c r="J11" i="23"/>
  <c r="J9" i="19"/>
  <c r="J16" i="19"/>
  <c r="J6" i="19"/>
  <c r="J20" i="21"/>
  <c r="J14" i="19"/>
  <c r="J4" i="19"/>
  <c r="J8" i="23"/>
  <c r="J24" i="23"/>
  <c r="J14" i="27"/>
  <c r="J15" i="27"/>
  <c r="J13" i="27"/>
  <c r="J17" i="27"/>
  <c r="J16" i="27"/>
  <c r="J11" i="26"/>
  <c r="J6" i="26"/>
  <c r="J17" i="26"/>
  <c r="J15" i="26"/>
  <c r="J12" i="26"/>
  <c r="J20" i="26"/>
  <c r="J19" i="26"/>
  <c r="J21" i="19"/>
  <c r="J13" i="23"/>
  <c r="J19" i="23"/>
  <c r="J16" i="23"/>
  <c r="J12" i="23"/>
  <c r="J10" i="23"/>
  <c r="J17" i="23"/>
  <c r="J19" i="21"/>
  <c r="J9" i="21"/>
  <c r="J17" i="21"/>
  <c r="J21" i="21"/>
  <c r="J7" i="21"/>
  <c r="J16" i="21"/>
  <c r="J8" i="21"/>
  <c r="E5" i="15" l="1"/>
  <c r="E6" i="15"/>
  <c r="E7" i="15"/>
  <c r="E8" i="15"/>
  <c r="E9" i="15"/>
  <c r="E10" i="15"/>
  <c r="E11" i="15"/>
  <c r="E12" i="15"/>
  <c r="E4" i="15"/>
  <c r="F7" i="15" l="1"/>
  <c r="K7" i="15"/>
  <c r="F6" i="15"/>
  <c r="K6" i="15"/>
  <c r="L4" i="15"/>
  <c r="F4" i="15"/>
  <c r="K4" i="15"/>
  <c r="F12" i="15"/>
  <c r="K12" i="15"/>
  <c r="F11" i="15"/>
  <c r="K11" i="15"/>
  <c r="F10" i="15"/>
  <c r="K10" i="15"/>
  <c r="F9" i="15"/>
  <c r="K9" i="15"/>
  <c r="F8" i="15"/>
  <c r="K8" i="15"/>
  <c r="F5" i="15"/>
  <c r="K5" i="15"/>
  <c r="E13" i="14"/>
  <c r="J13" i="14" s="1"/>
  <c r="E14" i="14"/>
  <c r="J14" i="14" s="1"/>
  <c r="E15" i="14"/>
  <c r="E16" i="14"/>
  <c r="J16" i="14" s="1"/>
  <c r="E17" i="14"/>
  <c r="J17" i="14" s="1"/>
  <c r="E18" i="14"/>
  <c r="J18" i="14" s="1"/>
  <c r="E19" i="14"/>
  <c r="J19" i="14" s="1"/>
  <c r="E20" i="14"/>
  <c r="J20" i="14" s="1"/>
  <c r="E21" i="14"/>
  <c r="J21" i="14" s="1"/>
  <c r="E7" i="14"/>
  <c r="E8" i="14"/>
  <c r="J8" i="14" s="1"/>
  <c r="E9" i="14"/>
  <c r="J9" i="14" s="1"/>
  <c r="E10" i="14"/>
  <c r="J10" i="14" s="1"/>
  <c r="E11" i="14"/>
  <c r="J11" i="14" s="1"/>
  <c r="E12" i="14"/>
  <c r="J12" i="14" s="1"/>
  <c r="E5" i="14"/>
  <c r="J5" i="14" s="1"/>
  <c r="E6" i="14"/>
  <c r="J6" i="14" s="1"/>
  <c r="R3" i="1"/>
  <c r="R4" i="1"/>
  <c r="R5" i="1"/>
  <c r="R6" i="1"/>
  <c r="R7" i="1"/>
  <c r="R8" i="1"/>
  <c r="R9" i="1"/>
  <c r="R10" i="1"/>
  <c r="R11" i="1"/>
  <c r="R12" i="1"/>
  <c r="R13" i="1"/>
  <c r="R14" i="1"/>
  <c r="R15" i="1"/>
  <c r="R16" i="1"/>
  <c r="R17" i="1"/>
  <c r="R18" i="1"/>
  <c r="R19" i="1"/>
  <c r="R20" i="1"/>
  <c r="R21" i="1"/>
  <c r="R22" i="1"/>
  <c r="R23" i="1"/>
  <c r="R24" i="1"/>
  <c r="R25" i="1"/>
  <c r="R26" i="1"/>
  <c r="R27" i="1"/>
  <c r="R28" i="1"/>
  <c r="R29" i="1"/>
  <c r="R30" i="1"/>
  <c r="R31" i="1"/>
  <c r="R32" i="1"/>
  <c r="R33" i="1"/>
  <c r="R34" i="1"/>
  <c r="R2" i="1"/>
  <c r="E4" i="14"/>
  <c r="J15" i="14"/>
  <c r="J7" i="14"/>
  <c r="J4" i="14"/>
  <c r="J24" i="11"/>
  <c r="J23" i="11"/>
  <c r="J22" i="11"/>
  <c r="CV29" i="1"/>
  <c r="CV30" i="1"/>
  <c r="CV31" i="1"/>
  <c r="CV32" i="1"/>
  <c r="CV33" i="1"/>
  <c r="CV34" i="1"/>
  <c r="J7" i="11"/>
  <c r="J10" i="11"/>
  <c r="J11" i="11"/>
  <c r="J13" i="11"/>
  <c r="J14" i="11"/>
  <c r="J15" i="11"/>
  <c r="J16" i="11"/>
  <c r="J17" i="11"/>
  <c r="J18" i="11"/>
  <c r="J19" i="11"/>
  <c r="J20" i="11"/>
  <c r="J21" i="11"/>
  <c r="E12" i="11"/>
  <c r="J12" i="11" s="1"/>
  <c r="E11" i="11"/>
  <c r="E9" i="11"/>
  <c r="J9" i="11" s="1"/>
  <c r="E8" i="11"/>
  <c r="J8" i="11" s="1"/>
  <c r="E6" i="11"/>
  <c r="J6" i="11" s="1"/>
  <c r="E5" i="11"/>
  <c r="J5" i="11" s="1"/>
  <c r="E10" i="11"/>
  <c r="E7" i="11"/>
  <c r="E4" i="11"/>
  <c r="J4" i="11" s="1"/>
  <c r="E4" i="7"/>
  <c r="D2" i="6"/>
  <c r="D4" i="5"/>
  <c r="CV3" i="1"/>
  <c r="CV4" i="1"/>
  <c r="CV5" i="1"/>
  <c r="CV6" i="1"/>
  <c r="CV7" i="1"/>
  <c r="CV8" i="1"/>
  <c r="CV9" i="1"/>
  <c r="CV10" i="1"/>
  <c r="CV11" i="1"/>
  <c r="CV12" i="1"/>
  <c r="CV13" i="1"/>
  <c r="CV14" i="1"/>
  <c r="CV15" i="1"/>
  <c r="CV16" i="1"/>
  <c r="CV17" i="1"/>
  <c r="CV18" i="1"/>
  <c r="CV19" i="1"/>
  <c r="CV20" i="1"/>
  <c r="CV21" i="1"/>
  <c r="CV22" i="1"/>
  <c r="CV23" i="1"/>
  <c r="CV24" i="1"/>
  <c r="CV25" i="1"/>
  <c r="CV26" i="1"/>
  <c r="CV27" i="1"/>
  <c r="CV28" i="1"/>
  <c r="CV2" i="1"/>
  <c r="B61" i="8"/>
  <c r="B60" i="8"/>
  <c r="B59" i="8"/>
  <c r="B58" i="8"/>
  <c r="B55" i="8"/>
  <c r="B54" i="8"/>
  <c r="E53" i="8"/>
  <c r="E52" i="8"/>
  <c r="C50" i="8"/>
  <c r="B49" i="8"/>
  <c r="B48" i="8"/>
  <c r="B47" i="8"/>
  <c r="C46" i="8"/>
  <c r="B46" i="8"/>
  <c r="B41" i="8"/>
  <c r="B40" i="8"/>
  <c r="B37" i="8"/>
  <c r="B36" i="8"/>
  <c r="B33" i="8"/>
  <c r="B32" i="8"/>
  <c r="B29" i="8"/>
  <c r="B28" i="8"/>
  <c r="B27" i="8"/>
  <c r="B26" i="8"/>
  <c r="B25" i="8"/>
  <c r="B24" i="8"/>
  <c r="B23" i="8"/>
  <c r="C22" i="8"/>
  <c r="B22" i="8"/>
  <c r="B21" i="8"/>
  <c r="B20" i="8"/>
  <c r="B19" i="8"/>
  <c r="B18" i="8"/>
  <c r="B17" i="8"/>
  <c r="C16" i="8"/>
  <c r="B16" i="8"/>
  <c r="E13" i="8"/>
  <c r="E12" i="8"/>
  <c r="B11" i="8"/>
  <c r="D10" i="8"/>
  <c r="C10" i="8"/>
  <c r="B10" i="8"/>
  <c r="B9" i="8"/>
  <c r="D8" i="8"/>
  <c r="C8" i="8"/>
  <c r="B8" i="8"/>
  <c r="C6" i="8"/>
  <c r="B4" i="8"/>
</calcChain>
</file>

<file path=xl/sharedStrings.xml><?xml version="1.0" encoding="utf-8"?>
<sst xmlns="http://schemas.openxmlformats.org/spreadsheetml/2006/main" count="3863" uniqueCount="402">
  <si>
    <t>Index</t>
  </si>
  <si>
    <t>Reading No</t>
  </si>
  <si>
    <t>Time</t>
  </si>
  <si>
    <t>Type</t>
  </si>
  <si>
    <t>Duration</t>
  </si>
  <si>
    <t>Units</t>
  </si>
  <si>
    <t>Sigma Value</t>
  </si>
  <si>
    <t>Sequence</t>
  </si>
  <si>
    <t>Flags</t>
  </si>
  <si>
    <t>SAMPLE</t>
  </si>
  <si>
    <t>LOCATION</t>
  </si>
  <si>
    <t>INSPECTOR</t>
  </si>
  <si>
    <t>MISC</t>
  </si>
  <si>
    <t>NOTE</t>
  </si>
  <si>
    <t>Mo</t>
  </si>
  <si>
    <t>Mo Error</t>
  </si>
  <si>
    <t>Zr</t>
  </si>
  <si>
    <t>Zr Error</t>
  </si>
  <si>
    <t>Sr</t>
  </si>
  <si>
    <t>Sr Error</t>
  </si>
  <si>
    <t>U</t>
  </si>
  <si>
    <t>U Error</t>
  </si>
  <si>
    <t>Rb</t>
  </si>
  <si>
    <t>Rb Error</t>
  </si>
  <si>
    <t>Th</t>
  </si>
  <si>
    <t>Th Error</t>
  </si>
  <si>
    <t>Pb</t>
  </si>
  <si>
    <t>Pb Error</t>
  </si>
  <si>
    <t>Au</t>
  </si>
  <si>
    <t>Au Error</t>
  </si>
  <si>
    <t>Se</t>
  </si>
  <si>
    <t>Se Error</t>
  </si>
  <si>
    <t>As</t>
  </si>
  <si>
    <t>As Error</t>
  </si>
  <si>
    <t>Hg</t>
  </si>
  <si>
    <t>Hg Error</t>
  </si>
  <si>
    <t>Zn</t>
  </si>
  <si>
    <t>Zn Error</t>
  </si>
  <si>
    <t>W</t>
  </si>
  <si>
    <t>W Error</t>
  </si>
  <si>
    <t>Cu</t>
  </si>
  <si>
    <t>Cu Error</t>
  </si>
  <si>
    <t>Ni</t>
  </si>
  <si>
    <t>Ni Error</t>
  </si>
  <si>
    <t>Co</t>
  </si>
  <si>
    <t>Co Error</t>
  </si>
  <si>
    <t>Fe</t>
  </si>
  <si>
    <t>Fe Error</t>
  </si>
  <si>
    <t>Mn</t>
  </si>
  <si>
    <t>Mn Error</t>
  </si>
  <si>
    <t>Cr</t>
  </si>
  <si>
    <t>Cr Error</t>
  </si>
  <si>
    <t>V</t>
  </si>
  <si>
    <t>V Error</t>
  </si>
  <si>
    <t>Ti</t>
  </si>
  <si>
    <t>Ti Error</t>
  </si>
  <si>
    <t>Sc</t>
  </si>
  <si>
    <t>Sc Error</t>
  </si>
  <si>
    <t>Ca</t>
  </si>
  <si>
    <t>Ca Error</t>
  </si>
  <si>
    <t>K</t>
  </si>
  <si>
    <t>K Error</t>
  </si>
  <si>
    <t>S</t>
  </si>
  <si>
    <t>S Error</t>
  </si>
  <si>
    <t>Ba</t>
  </si>
  <si>
    <t>Ba Error</t>
  </si>
  <si>
    <t>Cs</t>
  </si>
  <si>
    <t>Cs Error</t>
  </si>
  <si>
    <t>Te</t>
  </si>
  <si>
    <t>Te Error</t>
  </si>
  <si>
    <t>Sb</t>
  </si>
  <si>
    <t>Sb Error</t>
  </si>
  <si>
    <t>Sn</t>
  </si>
  <si>
    <t>Sn Error</t>
  </si>
  <si>
    <t>Cd</t>
  </si>
  <si>
    <t>Cd Error</t>
  </si>
  <si>
    <t>Ag</t>
  </si>
  <si>
    <t>Ag Error</t>
  </si>
  <si>
    <t>Pd</t>
  </si>
  <si>
    <t>Pd Error</t>
  </si>
  <si>
    <t>Bal</t>
  </si>
  <si>
    <t>Bal Error</t>
  </si>
  <si>
    <t>Nb</t>
  </si>
  <si>
    <t>Nb Error</t>
  </si>
  <si>
    <t>Bi</t>
  </si>
  <si>
    <t>Bi Error</t>
  </si>
  <si>
    <t>Re</t>
  </si>
  <si>
    <t>Re Error</t>
  </si>
  <si>
    <t>Ta</t>
  </si>
  <si>
    <t>Ta Error</t>
  </si>
  <si>
    <t>Hf</t>
  </si>
  <si>
    <t>Hf Error</t>
  </si>
  <si>
    <t>Al</t>
  </si>
  <si>
    <t>Al Error</t>
  </si>
  <si>
    <t>P</t>
  </si>
  <si>
    <t>P Error</t>
  </si>
  <si>
    <t>Si</t>
  </si>
  <si>
    <t>Si Error</t>
  </si>
  <si>
    <t>Cl</t>
  </si>
  <si>
    <t>Cl Error</t>
  </si>
  <si>
    <t>Mg</t>
  </si>
  <si>
    <t>Mg Error</t>
  </si>
  <si>
    <t>TestAll Geo</t>
  </si>
  <si>
    <t>ppm</t>
  </si>
  <si>
    <t>Final</t>
  </si>
  <si>
    <t xml:space="preserve">-8mm </t>
  </si>
  <si>
    <t>BCR-2-run1</t>
  </si>
  <si>
    <t>&lt; LOD</t>
  </si>
  <si>
    <t>BCR-2-run2</t>
  </si>
  <si>
    <t>BCR-2-run3</t>
  </si>
  <si>
    <t>GSP-2-run1</t>
  </si>
  <si>
    <t>GSP-2-run2</t>
  </si>
  <si>
    <t>GSP-2-run3</t>
  </si>
  <si>
    <t>AGV-2</t>
  </si>
  <si>
    <t>AGV-2-run2</t>
  </si>
  <si>
    <t>AGV-2-run3</t>
  </si>
  <si>
    <t>NOD-P-1-run1</t>
  </si>
  <si>
    <t>NOD-P-1-run2</t>
  </si>
  <si>
    <t>NOD-P-1-run3</t>
  </si>
  <si>
    <t>SBC-1-run1</t>
  </si>
  <si>
    <t>SBC-1-run2</t>
  </si>
  <si>
    <t>SBC-1-run3</t>
  </si>
  <si>
    <t>SDC-1-run1</t>
  </si>
  <si>
    <t>SDC-1-run2</t>
  </si>
  <si>
    <t>SDC-1-run3</t>
  </si>
  <si>
    <t>rcra 180-661 A</t>
  </si>
  <si>
    <t>run1</t>
  </si>
  <si>
    <t>rcra 180-661 B</t>
  </si>
  <si>
    <t>run2</t>
  </si>
  <si>
    <t>rcra 180-661 C</t>
  </si>
  <si>
    <t>run3</t>
  </si>
  <si>
    <t>QC USGS SAR-M 180-647 A</t>
  </si>
  <si>
    <t>QC USGS SAR-M 180-647 B</t>
  </si>
  <si>
    <t>QC USGS SAR-M 180-647 C</t>
  </si>
  <si>
    <t>ccrmptill 4pp 180646 A</t>
  </si>
  <si>
    <t>run31</t>
  </si>
  <si>
    <t>ccrmptill 4pp 180646 B</t>
  </si>
  <si>
    <t>ccrmptill 4pp 180646 C</t>
  </si>
  <si>
    <t>Element</t>
  </si>
  <si>
    <t>Wt %</t>
  </si>
  <si>
    <t>±</t>
  </si>
  <si>
    <t>Oxide</t>
  </si>
  <si>
    <t>Al2O3</t>
  </si>
  <si>
    <t>CaO</t>
  </si>
  <si>
    <t>Fetot</t>
  </si>
  <si>
    <t>Fe2O3 tot</t>
  </si>
  <si>
    <t>K2O</t>
  </si>
  <si>
    <t>MgO</t>
  </si>
  <si>
    <t>Na</t>
  </si>
  <si>
    <t>Na2O</t>
  </si>
  <si>
    <t>P2O5</t>
  </si>
  <si>
    <t>SiO2</t>
  </si>
  <si>
    <t>TiO2</t>
  </si>
  <si>
    <t>µg/g</t>
  </si>
  <si>
    <t>Ce</t>
  </si>
  <si>
    <t>Eu</t>
  </si>
  <si>
    <t>Ga</t>
  </si>
  <si>
    <t>Gd</t>
  </si>
  <si>
    <t>Y</t>
  </si>
  <si>
    <t>La</t>
  </si>
  <si>
    <t>Yb</t>
  </si>
  <si>
    <t>Nd</t>
  </si>
  <si>
    <t>Information Values</t>
  </si>
  <si>
    <t>Lu</t>
  </si>
  <si>
    <t>F</t>
  </si>
  <si>
    <t>Pr</t>
  </si>
  <si>
    <t>Sm</t>
  </si>
  <si>
    <t>Ho</t>
  </si>
  <si>
    <t>Tb</t>
  </si>
  <si>
    <t>Li</t>
  </si>
  <si>
    <t>Tm</t>
  </si>
  <si>
    <t>Isotopic Ratios</t>
  </si>
  <si>
    <t>N</t>
  </si>
  <si>
    <t>Pb 206/204</t>
  </si>
  <si>
    <t>Pb 207/204</t>
  </si>
  <si>
    <t>Pb 208/204</t>
  </si>
  <si>
    <t>Recommended values</t>
  </si>
  <si>
    <t>Basalt, Columbia River, BCR-2</t>
  </si>
  <si>
    <t>Andesite, AGV-2</t>
  </si>
  <si>
    <t>Recommended Values</t>
  </si>
  <si>
    <t>Fe2O3</t>
  </si>
  <si>
    <t>Be</t>
  </si>
  <si>
    <t>Dy</t>
  </si>
  <si>
    <t>Er</t>
  </si>
  <si>
    <t>Tl</t>
  </si>
  <si>
    <t>Granodiorite, Silver Plume,Colorado, GSP-2</t>
  </si>
  <si>
    <t>Fe2O3 tot</t>
  </si>
  <si>
    <t>Manganese Nodule, NOD-P-1</t>
  </si>
  <si>
    <t>MnO</t>
  </si>
  <si>
    <t>Fe2O3 T</t>
  </si>
  <si>
    <t>NOD-P-1 is a reference material which can be used to establish analytical accuracy in the analysis of manganese nodules or other geologic samples with elevated manganese concentrations. Material used in the preparation of the standard was collected from the Pacific ocean (14°50' N, 124°28' W) at a depth of 4,300 meters.</t>
  </si>
  <si>
    <t>Material used in the preparation of GSP-2 was collected by the U.S. Geological Survey, from the Silver Plume Quarry, which is located approximately 800 meters west of Silver Plume, Colorado. This is same location used to provide material for GSP-1. GSP-2 is a medium grained hypidiomophic- granular rock consisting essentially of quartz, plagioclase, microcline, biotite, and muscovite. Details of the collection, preparation, and testing are available (Wilson, S.A., 1998).</t>
  </si>
  <si>
    <t>Material used in the preparation of AGV-2 was collected from the eastern side of Guano Valley, in Lake County, Oregon. This is the same location used to provide material for AGV-1. Information on the mineralogy and classification of AGV-2 is unavailable but it is assumed to be very similar to AGV-1 (Flanagan, 1967, 1969). Element concentrations for AGV-2 were obtained through a round robin study involving 23 international laboratories.</t>
  </si>
  <si>
    <t>Material used in the preparation of BCR-2 was collected in 1996 from the Bridal Veil Flow Quarry under the direction of Stephen A. Wilson, U.S. Geological Survey. The quarry, located approximately 29 miles east of Portland, Oregon, is the same collection site used to provide material for BCR-1.</t>
  </si>
  <si>
    <t>Wt%</t>
  </si>
  <si>
    <t>s.d.</t>
  </si>
  <si>
    <t>Fe2O3T</t>
  </si>
  <si>
    <t>Stot</t>
  </si>
  <si>
    <t>Ctot</t>
  </si>
  <si>
    <t>Cinorg</t>
  </si>
  <si>
    <t>Corg</t>
  </si>
  <si>
    <t>LOI</t>
  </si>
  <si>
    <t>&lt;.15</t>
  </si>
  <si>
    <t>Material used in the preparation of SBC-1 was collected in 1999 under the direction of Roger Hornberger (Pennsylvanian Department Environmental Quality) and Stephen Wilson, USGS. The collection site was a fresh road cut located in Westmoreland County, near Greensburg PA at the intersection of routes 66 and 130. SBC-1 is representative of marine shale of the lower Conemaugh Group, Glenshaw formation. Mineralogical analysis of SBC-1 reveals major concentrations of muscovite, quartz, kaolinite, and chlorite with minor amounts of calcite, siderite, anatase, rutile, and pyrite.</t>
  </si>
  <si>
    <t>mg/kg</t>
  </si>
  <si>
    <t>Mica Schist, SDC-1</t>
  </si>
  <si>
    <t>Material used in the preparation of this standard was collected in 1963 from the Washington D.C. area. The material is probably of late Precambrian age, and examination of hand specimens reveals a dark gray pervasively foliated muscovite-quartz schist with a homogeneous thinly streaked texture (Flanagan, 1976).</t>
  </si>
  <si>
    <t>FeO</t>
  </si>
  <si>
    <t>B</t>
  </si>
  <si>
    <t>Name</t>
  </si>
  <si>
    <t>2709a</t>
  </si>
  <si>
    <t>RCRA STD 180-436</t>
  </si>
  <si>
    <t>Till-4 108-601</t>
  </si>
  <si>
    <t>SiO2 180-615</t>
  </si>
  <si>
    <t>Notes</t>
  </si>
  <si>
    <t>Mass Fraction (1st 9 %, rest converted mg/kg to %)</t>
  </si>
  <si>
    <t>Mass Fraction (converted mg/kg to %)</t>
  </si>
  <si>
    <t>mg/kg converted to %</t>
  </si>
  <si>
    <t>NA</t>
  </si>
  <si>
    <t>Al error</t>
  </si>
  <si>
    <t>Ag error</t>
  </si>
  <si>
    <t>As error</t>
  </si>
  <si>
    <t>Ba error</t>
  </si>
  <si>
    <t>Bal error</t>
  </si>
  <si>
    <t>Ca error</t>
  </si>
  <si>
    <t>Cd error</t>
  </si>
  <si>
    <t xml:space="preserve">Ce </t>
  </si>
  <si>
    <t>Ce error</t>
  </si>
  <si>
    <t xml:space="preserve">Co </t>
  </si>
  <si>
    <t>Co error</t>
  </si>
  <si>
    <t xml:space="preserve">Cr </t>
  </si>
  <si>
    <t>Cr error</t>
  </si>
  <si>
    <t xml:space="preserve">Cs </t>
  </si>
  <si>
    <t>Cs error</t>
  </si>
  <si>
    <t>Cu error</t>
  </si>
  <si>
    <t>Eu Error</t>
  </si>
  <si>
    <t>Fe error</t>
  </si>
  <si>
    <t>Gd Error</t>
  </si>
  <si>
    <t>K error</t>
  </si>
  <si>
    <t>La error</t>
  </si>
  <si>
    <t>Mn error</t>
  </si>
  <si>
    <t>Na error</t>
  </si>
  <si>
    <t>P error</t>
  </si>
  <si>
    <t>Pb error</t>
  </si>
  <si>
    <t>Sb error</t>
  </si>
  <si>
    <t>Se error</t>
  </si>
  <si>
    <t>Si error</t>
  </si>
  <si>
    <t>Sr error</t>
  </si>
  <si>
    <t>Ti error</t>
  </si>
  <si>
    <t>V error</t>
  </si>
  <si>
    <t>Zr error</t>
  </si>
  <si>
    <t>Si (wt%)</t>
  </si>
  <si>
    <t>Element (wt%)</t>
  </si>
  <si>
    <t>Sample</t>
  </si>
  <si>
    <t>SDC-1</t>
  </si>
  <si>
    <t>SBC-1</t>
  </si>
  <si>
    <t>NOD-P-1</t>
  </si>
  <si>
    <t>pXRF Reading (Wt%)</t>
  </si>
  <si>
    <t>pXRF Name</t>
  </si>
  <si>
    <t>GSP-2</t>
  </si>
  <si>
    <t>BCR-2</t>
  </si>
  <si>
    <t>% Dif</t>
  </si>
  <si>
    <t>nist 2709a pp 180-649 A</t>
  </si>
  <si>
    <t>nist 2709a pp 180-649 B</t>
  </si>
  <si>
    <t>nist 2709a pp 180-649 C</t>
  </si>
  <si>
    <t>sio2 180-647 A</t>
  </si>
  <si>
    <t>sio2 180-647 B</t>
  </si>
  <si>
    <t>sio2 180-647 C</t>
  </si>
  <si>
    <t>nist 2709a</t>
  </si>
  <si>
    <t>Zr wt%</t>
  </si>
  <si>
    <t>N/A</t>
  </si>
  <si>
    <t>FIX REMAINING SAMPLE SELECT DATA</t>
  </si>
  <si>
    <t>error</t>
  </si>
  <si>
    <t>%dif</t>
  </si>
  <si>
    <t>Reported values</t>
  </si>
  <si>
    <t>Oxide      Wt,%</t>
  </si>
  <si>
    <t xml:space="preserve">  Al2O3</t>
  </si>
  <si>
    <t xml:space="preserve">   Al</t>
  </si>
  <si>
    <t xml:space="preserve">  CaO</t>
  </si>
  <si>
    <t xml:space="preserve">   </t>
  </si>
  <si>
    <t xml:space="preserve">   Ca</t>
  </si>
  <si>
    <t xml:space="preserve">  Fe2O3T</t>
  </si>
  <si>
    <t xml:space="preserve">   Fe</t>
  </si>
  <si>
    <t xml:space="preserve">  FeO</t>
  </si>
  <si>
    <t xml:space="preserve">   Fe II</t>
  </si>
  <si>
    <t xml:space="preserve">  K2O</t>
  </si>
  <si>
    <t xml:space="preserve">  </t>
  </si>
  <si>
    <t xml:space="preserve">   K</t>
  </si>
  <si>
    <t xml:space="preserve">  MgO</t>
  </si>
  <si>
    <t xml:space="preserve">   Mg</t>
  </si>
  <si>
    <t xml:space="preserve">  Na2O</t>
  </si>
  <si>
    <t xml:space="preserve">   Na</t>
  </si>
  <si>
    <t xml:space="preserve">  P2O5</t>
  </si>
  <si>
    <t xml:space="preserve">   P</t>
  </si>
  <si>
    <t xml:space="preserve">  SiO2</t>
  </si>
  <si>
    <t xml:space="preserve"> </t>
  </si>
  <si>
    <t xml:space="preserve">   Si</t>
  </si>
  <si>
    <t xml:space="preserve">  TiO2</t>
  </si>
  <si>
    <t xml:space="preserve">   Ti</t>
  </si>
  <si>
    <t xml:space="preserve">  Ctot</t>
  </si>
  <si>
    <t xml:space="preserve">  CCO3</t>
  </si>
  <si>
    <t xml:space="preserve">  Stot </t>
  </si>
  <si>
    <t xml:space="preserve">µg/g        </t>
  </si>
  <si>
    <t>In</t>
  </si>
  <si>
    <t>µg/kg</t>
  </si>
  <si>
    <t>Pt</t>
  </si>
  <si>
    <t>WT%</t>
  </si>
  <si>
    <t>s.d</t>
  </si>
  <si>
    <t>USGS SARM</t>
  </si>
  <si>
    <t>Sum of Fe2O3 + FeO</t>
  </si>
  <si>
    <t>O</t>
  </si>
  <si>
    <t>Molar Mass</t>
  </si>
  <si>
    <t>FeOT (and Fe2O3T). Total iron expressed as the calculated ferrous or ferric amount. The iron in a rock is usually mainly in the divalent ferrous state but about 25% is in the trivalent state. Ferrous and ferric iron behave like two different elements, ferric iron is found in titanomagnetite etc, ferrous iron in olivines and pyroxenes. With the slightest degree of weathering of these minerals, their iron oxidises to the ferric state which upsets NORM calculations. Volcanic submarine glasses are usually analysed by electron microprobe which cannot differentiate between the two; iron is iron! Glasses are seldom determined for ferric iron which has to be done by wet chemistry. Or iron may be reported as total Ferric or as total ferrous or as both. Sometimes in databases, what is obviously total ferric iron is simply reported as Fe2O3. This may cause large errors in some calculations. Remember that ferric is usually at most 1/3 of the total amount of iron present, in basaltic rocks, about 20-25%. However, there are exceptions. Some years ago Haraldur Sigurdsson analysed a basalt from Kolbeinsey Id, north of Iceland, which was completely oxidised with only Fe+++. The olivine was a pure forsterite, Fo 99-100! (Trivalent ferric iron cannot enter the olivine lattice so the olivine was completely magnesian).To convert Fe2O3 and FeO to FeOT enter in EXCEL "=D3*.899+F3" asuming the first line is 3, Fe2O3 is in Col D, FeO is in Col F and a column for FeOT has been set up in Col E. Then copy and paste to the bottom of the file Get it? If not email me as this is rather important. Every variation diagram in these pages has been recalculated to FeOT.</t>
  </si>
  <si>
    <t>USGS SRM</t>
  </si>
  <si>
    <t>ppm/Wt%</t>
  </si>
  <si>
    <t>Oxide/Element</t>
  </si>
  <si>
    <t>Molar Weight</t>
  </si>
  <si>
    <t>O (standard atomic weight)</t>
  </si>
  <si>
    <t>P2</t>
  </si>
  <si>
    <t>O5</t>
  </si>
  <si>
    <t>P205</t>
  </si>
  <si>
    <t>P Ratio</t>
  </si>
  <si>
    <t>O Ratio</t>
  </si>
  <si>
    <t>Till -4</t>
  </si>
  <si>
    <t>Al2O4</t>
  </si>
  <si>
    <t>Al2O5</t>
  </si>
  <si>
    <t>Fe + Fe II</t>
  </si>
  <si>
    <t>SARM USGS</t>
  </si>
  <si>
    <t>Till 4</t>
  </si>
  <si>
    <t>Till-4</t>
  </si>
  <si>
    <t>N/a</t>
  </si>
  <si>
    <t>User1</t>
  </si>
  <si>
    <t>USER1</t>
  </si>
  <si>
    <t>GeoSuite</t>
  </si>
  <si>
    <t>No Search : *99.90</t>
  </si>
  <si>
    <t>CF -Emp1(GeoSuite)</t>
  </si>
  <si>
    <t>BCR2-run1</t>
  </si>
  <si>
    <t>BCR2-run2</t>
  </si>
  <si>
    <t>BCR2-run3</t>
  </si>
  <si>
    <t>Geo Suite TEST</t>
  </si>
  <si>
    <t>% error w/ standard</t>
  </si>
  <si>
    <t>%</t>
  </si>
  <si>
    <t>BCR2run-4</t>
  </si>
  <si>
    <t>BCR2run-5</t>
  </si>
  <si>
    <t>BCR2_TEST</t>
  </si>
  <si>
    <t>Standard</t>
  </si>
  <si>
    <t>Value Read</t>
  </si>
  <si>
    <t>Standard Value</t>
  </si>
  <si>
    <t>wt%</t>
  </si>
  <si>
    <t>Error</t>
  </si>
  <si>
    <t>Uranium</t>
  </si>
  <si>
    <t>p2</t>
  </si>
  <si>
    <t>p205</t>
  </si>
  <si>
    <t>p%</t>
  </si>
  <si>
    <t>na</t>
  </si>
  <si>
    <t>can't do not in mining Cu</t>
  </si>
  <si>
    <t>Slope</t>
  </si>
  <si>
    <t>B Intercept</t>
  </si>
  <si>
    <t>Barium</t>
  </si>
  <si>
    <t>Strontium</t>
  </si>
  <si>
    <t>Aluminum</t>
  </si>
  <si>
    <t>Arsenic</t>
  </si>
  <si>
    <t>Nickel</t>
  </si>
  <si>
    <t>Copper</t>
  </si>
  <si>
    <r>
      <t>R</t>
    </r>
    <r>
      <rPr>
        <vertAlign val="superscript"/>
        <sz val="11"/>
        <color theme="1"/>
        <rFont val="Calibri"/>
        <family val="2"/>
        <scheme val="minor"/>
      </rPr>
      <t>2</t>
    </r>
  </si>
  <si>
    <t>Iron</t>
  </si>
  <si>
    <t>Zinc</t>
  </si>
  <si>
    <t>Phosphorous</t>
  </si>
  <si>
    <t>Niobium</t>
  </si>
  <si>
    <t>Vanadium</t>
  </si>
  <si>
    <t>Calcium</t>
  </si>
  <si>
    <t>Potassium</t>
  </si>
  <si>
    <t>Manganese</t>
  </si>
  <si>
    <t>Silica</t>
  </si>
  <si>
    <t>Lead</t>
  </si>
  <si>
    <t>Thorium</t>
  </si>
  <si>
    <t>Titanium</t>
  </si>
  <si>
    <t>Zirconium</t>
  </si>
  <si>
    <t>Major Rock Forming Major Elements</t>
  </si>
  <si>
    <t>Trace Elements</t>
  </si>
  <si>
    <t>STANDARD</t>
  </si>
  <si>
    <t>PPM</t>
  </si>
  <si>
    <t>Fe(tot)/Fe2O3</t>
  </si>
  <si>
    <t xml:space="preserve">Ho </t>
  </si>
  <si>
    <t xml:space="preserve">Zn </t>
  </si>
  <si>
    <t>Columbia River Basalt</t>
  </si>
  <si>
    <t>Element wt%</t>
  </si>
  <si>
    <t>Oxide wt %</t>
  </si>
  <si>
    <t>Granodiorite</t>
  </si>
  <si>
    <t>Andesite</t>
  </si>
  <si>
    <t>Shale</t>
  </si>
  <si>
    <t>Mn Nodule</t>
  </si>
  <si>
    <t xml:space="preserve">SDC-1 </t>
  </si>
  <si>
    <t>Mica Schist</t>
  </si>
  <si>
    <t>n.d.</t>
  </si>
  <si>
    <t>NIST 2780</t>
  </si>
  <si>
    <t>NIST 2709A</t>
  </si>
  <si>
    <t>NIST RCRA</t>
  </si>
  <si>
    <t>Columns in red are light elements that will not be detected by EDS on the pXRF</t>
  </si>
  <si>
    <t>To make a new elemental calibration curve, select the appropriate standards for that element, and use standards with a good spread of high to low values to get the best fit curve over the whole compositional range</t>
  </si>
  <si>
    <t>When plotting results, check the expected values listed above against the Certificate of Analyses, on file with ICAL staff; typos may have been entered.</t>
  </si>
  <si>
    <t>Major elements are listed as Wt % Oxide and/or Wt% Element;  Trace Elements are listed as PPM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</si>
</sst>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0%"/>
    <numFmt numFmtId="165" formatCode="0.0000%"/>
    <numFmt numFmtId="166" formatCode="0.0000"/>
    <numFmt numFmtId="167" formatCode="0.00000"/>
    <numFmt numFmtId="168" formatCode="0.000"/>
    <numFmt numFmtId="169" formatCode="0.0%"/>
    <numFmt numFmtId="170" formatCode="0.0"/>
  </numFmts>
  <fonts count="2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u/>
      <sz val="11"/>
      <color theme="1"/>
      <name val="Calibri"/>
      <family val="2"/>
      <scheme val="minor"/>
    </font>
    <font>
      <sz val="7"/>
      <color rgb="FF000000"/>
      <name val="Arial"/>
      <family val="2"/>
    </font>
    <font>
      <vertAlign val="superscript"/>
      <sz val="11"/>
      <color theme="1"/>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000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5" tint="0.79998168889431442"/>
        <bgColor indexed="64"/>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3">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51">
    <xf numFmtId="0" fontId="0" fillId="0" borderId="0" xfId="0"/>
    <xf numFmtId="22" fontId="0" fillId="0" borderId="0" xfId="0" applyNumberFormat="1"/>
    <xf numFmtId="0" fontId="18" fillId="0" borderId="0" xfId="0" applyFont="1"/>
    <xf numFmtId="0" fontId="0" fillId="0" borderId="0" xfId="0" applyAlignment="1">
      <alignment horizontal="center" wrapText="1"/>
    </xf>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xf numFmtId="164" fontId="0" fillId="0" borderId="13" xfId="1" applyNumberFormat="1" applyFont="1" applyBorder="1"/>
    <xf numFmtId="10" fontId="0" fillId="0" borderId="13" xfId="1" applyNumberFormat="1" applyFont="1" applyBorder="1"/>
    <xf numFmtId="165" fontId="0" fillId="0" borderId="13" xfId="1" applyNumberFormat="1" applyFont="1" applyBorder="1"/>
    <xf numFmtId="0" fontId="0" fillId="0" borderId="15" xfId="0" applyBorder="1"/>
    <xf numFmtId="0" fontId="0" fillId="0" borderId="16" xfId="0" applyBorder="1"/>
    <xf numFmtId="0" fontId="0" fillId="0" borderId="17" xfId="0" applyBorder="1"/>
    <xf numFmtId="9" fontId="0" fillId="0" borderId="0" xfId="1" applyFont="1"/>
    <xf numFmtId="2" fontId="0" fillId="0" borderId="0" xfId="1" applyNumberFormat="1" applyFont="1"/>
    <xf numFmtId="0" fontId="0" fillId="33" borderId="0" xfId="0" applyFill="1"/>
    <xf numFmtId="166" fontId="0" fillId="0" borderId="0" xfId="1" applyNumberFormat="1" applyFont="1"/>
    <xf numFmtId="167" fontId="0" fillId="0" borderId="0" xfId="1" applyNumberFormat="1" applyFont="1"/>
    <xf numFmtId="168" fontId="0" fillId="0" borderId="0" xfId="1" applyNumberFormat="1" applyFont="1"/>
    <xf numFmtId="169" fontId="0" fillId="0" borderId="0" xfId="1" applyNumberFormat="1" applyFont="1"/>
    <xf numFmtId="0" fontId="0" fillId="34" borderId="0" xfId="0" applyFill="1"/>
    <xf numFmtId="168" fontId="0" fillId="34" borderId="0" xfId="1" applyNumberFormat="1" applyFont="1" applyFill="1"/>
    <xf numFmtId="9" fontId="0" fillId="34" borderId="0" xfId="1" applyFont="1" applyFill="1"/>
    <xf numFmtId="166" fontId="0" fillId="0" borderId="0" xfId="0" applyNumberFormat="1"/>
    <xf numFmtId="0" fontId="19" fillId="0" borderId="0" xfId="0" applyFont="1"/>
    <xf numFmtId="170" fontId="0" fillId="0" borderId="0" xfId="1" applyNumberFormat="1" applyFont="1"/>
    <xf numFmtId="0" fontId="0" fillId="0" borderId="21" xfId="0" applyBorder="1"/>
    <xf numFmtId="0" fontId="0" fillId="0" borderId="21" xfId="0" applyBorder="1" applyAlignment="1">
      <alignment horizontal="center"/>
    </xf>
    <xf numFmtId="0" fontId="0" fillId="0" borderId="0" xfId="0" applyAlignment="1">
      <alignment horizontal="center"/>
    </xf>
    <xf numFmtId="0" fontId="0" fillId="35" borderId="21" xfId="0" applyFill="1" applyBorder="1" applyAlignment="1">
      <alignment horizontal="center"/>
    </xf>
    <xf numFmtId="0" fontId="0" fillId="36" borderId="21" xfId="0" applyFill="1" applyBorder="1" applyAlignment="1">
      <alignment horizontal="center"/>
    </xf>
    <xf numFmtId="0" fontId="0" fillId="34" borderId="21" xfId="0" applyFill="1" applyBorder="1"/>
    <xf numFmtId="2" fontId="0" fillId="0" borderId="21" xfId="0" applyNumberFormat="1" applyBorder="1" applyAlignment="1">
      <alignment horizontal="center"/>
    </xf>
    <xf numFmtId="2" fontId="0" fillId="0" borderId="21" xfId="1" applyNumberFormat="1" applyFont="1" applyBorder="1" applyAlignment="1">
      <alignment horizontal="center"/>
    </xf>
    <xf numFmtId="49" fontId="0" fillId="0" borderId="21" xfId="0" applyNumberFormat="1" applyBorder="1" applyAlignment="1">
      <alignment horizontal="center"/>
    </xf>
    <xf numFmtId="49" fontId="0" fillId="0" borderId="21" xfId="1" applyNumberFormat="1" applyFont="1" applyBorder="1" applyAlignment="1">
      <alignment horizontal="center"/>
    </xf>
    <xf numFmtId="0" fontId="0" fillId="36" borderId="0" xfId="0" applyFill="1" applyAlignment="1">
      <alignment horizontal="center"/>
    </xf>
    <xf numFmtId="0" fontId="0" fillId="33" borderId="21" xfId="0" applyFill="1" applyBorder="1" applyAlignment="1">
      <alignment horizontal="center"/>
    </xf>
    <xf numFmtId="2" fontId="0" fillId="33" borderId="21" xfId="0" applyNumberFormat="1" applyFill="1" applyBorder="1" applyAlignment="1">
      <alignment horizontal="center"/>
    </xf>
    <xf numFmtId="0" fontId="0" fillId="0" borderId="22" xfId="0" applyBorder="1"/>
    <xf numFmtId="0" fontId="0" fillId="0" borderId="23" xfId="0" applyBorder="1"/>
    <xf numFmtId="0" fontId="0" fillId="0" borderId="24" xfId="0" applyBorder="1"/>
    <xf numFmtId="0" fontId="0" fillId="0" borderId="10" xfId="0" applyBorder="1"/>
    <xf numFmtId="0" fontId="0" fillId="0" borderId="11" xfId="0" applyBorder="1"/>
    <xf numFmtId="0" fontId="0" fillId="0" borderId="12" xfId="0" applyBorder="1"/>
    <xf numFmtId="0" fontId="0" fillId="0" borderId="18"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0" borderId="0" xfId="0" applyAlignment="1">
      <alignment horizontal="center" vertical="top" wrapText="1"/>
    </xf>
  </cellXfs>
  <cellStyles count="43">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Percent" xfId="1" builtinId="5"/>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Magnesium</a:t>
            </a:r>
          </a:p>
        </c:rich>
      </c:tx>
      <c:layout>
        <c:manualLayout>
          <c:xMode val="edge"/>
          <c:yMode val="edge"/>
          <c:x val="0.48100952525165125"/>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414752242508148"/>
          <c:y val="7.4878873415864258E-2"/>
          <c:w val="0.83808622479882322"/>
          <c:h val="0.80369817385114994"/>
        </c:manualLayout>
      </c:layout>
      <c:scatterChart>
        <c:scatterStyle val="lineMarker"/>
        <c:varyColors val="0"/>
        <c:ser>
          <c:idx val="6"/>
          <c:order val="0"/>
          <c:tx>
            <c:v>Trendline</c:v>
          </c:tx>
          <c:spPr>
            <a:ln w="25400" cap="rnd">
              <a:noFill/>
              <a:round/>
            </a:ln>
            <a:effectLst/>
          </c:spPr>
          <c:marker>
            <c:symbol val="circle"/>
            <c:size val="5"/>
            <c:spPr>
              <a:solidFill>
                <a:schemeClr val="accent1">
                  <a:lumMod val="60000"/>
                </a:schemeClr>
              </a:solidFill>
              <a:ln w="9525">
                <a:solidFill>
                  <a:schemeClr val="accent1">
                    <a:lumMod val="60000"/>
                  </a:schemeClr>
                </a:solidFill>
              </a:ln>
              <a:effectLst/>
            </c:spPr>
          </c:marker>
          <c:trendline>
            <c:spPr>
              <a:ln w="19050" cap="rnd">
                <a:solidFill>
                  <a:schemeClr val="accent1">
                    <a:lumMod val="60000"/>
                  </a:schemeClr>
                </a:solidFill>
                <a:prstDash val="sysDot"/>
              </a:ln>
              <a:effectLst/>
            </c:spPr>
            <c:trendlineType val="linear"/>
            <c:dispRSqr val="1"/>
            <c:dispEq val="1"/>
            <c:trendlineLbl>
              <c:layout>
                <c:manualLayout>
                  <c:x val="-2.2944968417409364E-2"/>
                  <c:y val="-2.6450798523065987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Magnesium!$E$4:$E$24</c:f>
              <c:numCache>
                <c:formatCode>General</c:formatCode>
                <c:ptCount val="21"/>
                <c:pt idx="0">
                  <c:v>2.16</c:v>
                </c:pt>
                <c:pt idx="1">
                  <c:v>2.16</c:v>
                </c:pt>
                <c:pt idx="2">
                  <c:v>2.16</c:v>
                </c:pt>
                <c:pt idx="3">
                  <c:v>0.57887999999999995</c:v>
                </c:pt>
                <c:pt idx="4">
                  <c:v>0.57887999999999995</c:v>
                </c:pt>
                <c:pt idx="5">
                  <c:v>0.57887999999999995</c:v>
                </c:pt>
                <c:pt idx="6">
                  <c:v>1.0793699999999999</c:v>
                </c:pt>
                <c:pt idx="7">
                  <c:v>1.0793699999999999</c:v>
                </c:pt>
                <c:pt idx="8">
                  <c:v>1.0793699999999999</c:v>
                </c:pt>
                <c:pt idx="9">
                  <c:v>1.9898999999999998</c:v>
                </c:pt>
                <c:pt idx="10">
                  <c:v>1.9898999999999998</c:v>
                </c:pt>
                <c:pt idx="11">
                  <c:v>1.9898999999999998</c:v>
                </c:pt>
                <c:pt idx="12">
                  <c:v>1.5678000000000001</c:v>
                </c:pt>
                <c:pt idx="13">
                  <c:v>1.5678000000000001</c:v>
                </c:pt>
                <c:pt idx="14">
                  <c:v>1.5678000000000001</c:v>
                </c:pt>
                <c:pt idx="15">
                  <c:v>1.0190699999999999</c:v>
                </c:pt>
                <c:pt idx="16">
                  <c:v>1.0190699999999999</c:v>
                </c:pt>
                <c:pt idx="17">
                  <c:v>1.0190699999999999</c:v>
                </c:pt>
                <c:pt idx="18">
                  <c:v>0.50048999999999999</c:v>
                </c:pt>
                <c:pt idx="19">
                  <c:v>0.50048999999999999</c:v>
                </c:pt>
                <c:pt idx="20">
                  <c:v>0.50048999999999999</c:v>
                </c:pt>
              </c:numCache>
            </c:numRef>
          </c:xVal>
          <c:yVal>
            <c:numRef>
              <c:f>Magnesium!$I$4:$I$24</c:f>
              <c:numCache>
                <c:formatCode>0.000</c:formatCode>
                <c:ptCount val="21"/>
                <c:pt idx="0">
                  <c:v>1.077386</c:v>
                </c:pt>
                <c:pt idx="1">
                  <c:v>1.390487</c:v>
                </c:pt>
                <c:pt idx="2">
                  <c:v>1.3702510000000001</c:v>
                </c:pt>
                <c:pt idx="3">
                  <c:v>1.2530459999999999</c:v>
                </c:pt>
                <c:pt idx="4">
                  <c:v>0</c:v>
                </c:pt>
                <c:pt idx="5">
                  <c:v>0.8529770000000001</c:v>
                </c:pt>
                <c:pt idx="6">
                  <c:v>1.1850149999999999</c:v>
                </c:pt>
                <c:pt idx="7">
                  <c:v>0</c:v>
                </c:pt>
                <c:pt idx="8">
                  <c:v>0.87952900000000012</c:v>
                </c:pt>
                <c:pt idx="9">
                  <c:v>1.773077</c:v>
                </c:pt>
                <c:pt idx="10">
                  <c:v>2.7684340000000001</c:v>
                </c:pt>
                <c:pt idx="11">
                  <c:v>1.846595</c:v>
                </c:pt>
                <c:pt idx="12">
                  <c:v>3.0890140000000001</c:v>
                </c:pt>
                <c:pt idx="13">
                  <c:v>1.3657950000000001</c:v>
                </c:pt>
                <c:pt idx="14">
                  <c:v>2.2558950000000002</c:v>
                </c:pt>
                <c:pt idx="15">
                  <c:v>1.4990139999999998</c:v>
                </c:pt>
                <c:pt idx="16">
                  <c:v>0.76098599999999994</c:v>
                </c:pt>
                <c:pt idx="17">
                  <c:v>0.62011800000000006</c:v>
                </c:pt>
                <c:pt idx="18">
                  <c:v>0.60573399999999999</c:v>
                </c:pt>
                <c:pt idx="19">
                  <c:v>0</c:v>
                </c:pt>
                <c:pt idx="20">
                  <c:v>0.69869799999999993</c:v>
                </c:pt>
              </c:numCache>
            </c:numRef>
          </c:yVal>
          <c:smooth val="0"/>
          <c:extLst>
            <c:ext xmlns:c16="http://schemas.microsoft.com/office/drawing/2014/chart" uri="{C3380CC4-5D6E-409C-BE32-E72D297353CC}">
              <c16:uniqueId val="{00000001-AFC4-5245-BC04-D1916037DB4F}"/>
            </c:ext>
          </c:extLst>
        </c:ser>
        <c:dLbls>
          <c:showLegendKey val="0"/>
          <c:showVal val="0"/>
          <c:showCatName val="0"/>
          <c:showSerName val="0"/>
          <c:showPercent val="0"/>
          <c:showBubbleSize val="0"/>
        </c:dLbls>
        <c:axId val="209817992"/>
        <c:axId val="209817600"/>
      </c:scatterChart>
      <c:valAx>
        <c:axId val="20981799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Standard Value (wt.%)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817600"/>
        <c:crosses val="autoZero"/>
        <c:crossBetween val="midCat"/>
      </c:valAx>
      <c:valAx>
        <c:axId val="2098176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pXRF Reading (wt%)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81799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Copper</a:t>
            </a:r>
          </a:p>
        </c:rich>
      </c:tx>
      <c:layout>
        <c:manualLayout>
          <c:xMode val="edge"/>
          <c:yMode val="edge"/>
          <c:x val="0.48100952525165125"/>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414752242508148"/>
          <c:y val="7.4878873415864258E-2"/>
          <c:w val="0.83808622479882322"/>
          <c:h val="0.80369817385114994"/>
        </c:manualLayout>
      </c:layout>
      <c:scatterChart>
        <c:scatterStyle val="lineMarker"/>
        <c:varyColors val="0"/>
        <c:ser>
          <c:idx val="6"/>
          <c:order val="0"/>
          <c:tx>
            <c:v>Trendline</c:v>
          </c:tx>
          <c:spPr>
            <a:ln w="25400" cap="rnd">
              <a:noFill/>
              <a:round/>
            </a:ln>
            <a:effectLst/>
          </c:spPr>
          <c:marker>
            <c:symbol val="circle"/>
            <c:size val="5"/>
            <c:spPr>
              <a:solidFill>
                <a:schemeClr val="accent1">
                  <a:lumMod val="60000"/>
                </a:schemeClr>
              </a:solidFill>
              <a:ln w="9525">
                <a:solidFill>
                  <a:schemeClr val="accent1">
                    <a:lumMod val="60000"/>
                  </a:schemeClr>
                </a:solidFill>
              </a:ln>
              <a:effectLst/>
            </c:spPr>
          </c:marker>
          <c:trendline>
            <c:spPr>
              <a:ln w="19050" cap="rnd">
                <a:solidFill>
                  <a:schemeClr val="accent1">
                    <a:lumMod val="60000"/>
                  </a:schemeClr>
                </a:solidFill>
                <a:prstDash val="sysDot"/>
              </a:ln>
              <a:effectLst/>
            </c:spPr>
            <c:trendlineType val="linear"/>
            <c:dispRSqr val="1"/>
            <c:dispEq val="1"/>
            <c:trendlineLbl>
              <c:layout>
                <c:manualLayout>
                  <c:x val="-2.2944968417409364E-2"/>
                  <c:y val="-2.6450798523065987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Copper!$E$4:$E$24</c:f>
              <c:numCache>
                <c:formatCode>General</c:formatCode>
                <c:ptCount val="21"/>
                <c:pt idx="1">
                  <c:v>1.9E-3</c:v>
                </c:pt>
                <c:pt idx="2">
                  <c:v>1.9E-3</c:v>
                </c:pt>
                <c:pt idx="3">
                  <c:v>4.3E-3</c:v>
                </c:pt>
                <c:pt idx="4">
                  <c:v>4.3E-3</c:v>
                </c:pt>
                <c:pt idx="5">
                  <c:v>4.3E-3</c:v>
                </c:pt>
                <c:pt idx="6">
                  <c:v>5.3E-3</c:v>
                </c:pt>
                <c:pt idx="7">
                  <c:v>5.3E-3</c:v>
                </c:pt>
                <c:pt idx="8">
                  <c:v>5.3E-3</c:v>
                </c:pt>
                <c:pt idx="9">
                  <c:v>1.1499999999999999</c:v>
                </c:pt>
                <c:pt idx="10">
                  <c:v>1.1499999999999999</c:v>
                </c:pt>
                <c:pt idx="11">
                  <c:v>1.1499999999999999</c:v>
                </c:pt>
                <c:pt idx="12">
                  <c:v>3.0999999999999999E-3</c:v>
                </c:pt>
                <c:pt idx="13">
                  <c:v>3.0999999999999999E-3</c:v>
                </c:pt>
                <c:pt idx="14">
                  <c:v>3.0999999999999999E-3</c:v>
                </c:pt>
                <c:pt idx="15">
                  <c:v>3.0000000000000001E-3</c:v>
                </c:pt>
                <c:pt idx="16">
                  <c:v>3.0000000000000001E-3</c:v>
                </c:pt>
                <c:pt idx="17">
                  <c:v>3.0000000000000001E-3</c:v>
                </c:pt>
                <c:pt idx="18">
                  <c:v>3.3099999999999997E-2</c:v>
                </c:pt>
                <c:pt idx="19">
                  <c:v>3.3099999999999997E-2</c:v>
                </c:pt>
                <c:pt idx="20">
                  <c:v>3.3099999999999997E-2</c:v>
                </c:pt>
              </c:numCache>
            </c:numRef>
          </c:xVal>
          <c:yVal>
            <c:numRef>
              <c:f>Copper!$I$4:$I$24</c:f>
              <c:numCache>
                <c:formatCode>0.000</c:formatCode>
                <c:ptCount val="21"/>
                <c:pt idx="1">
                  <c:v>2.196E-3</c:v>
                </c:pt>
                <c:pt idx="2">
                  <c:v>2.63E-3</c:v>
                </c:pt>
                <c:pt idx="3">
                  <c:v>3.3530000000000001E-3</c:v>
                </c:pt>
                <c:pt idx="4">
                  <c:v>3.3340000000000002E-3</c:v>
                </c:pt>
                <c:pt idx="5">
                  <c:v>3.9500000000000004E-3</c:v>
                </c:pt>
                <c:pt idx="6">
                  <c:v>4.9529999999999999E-3</c:v>
                </c:pt>
                <c:pt idx="7">
                  <c:v>5.032E-3</c:v>
                </c:pt>
                <c:pt idx="8">
                  <c:v>5.0260000000000001E-3</c:v>
                </c:pt>
                <c:pt idx="9">
                  <c:v>0.94957099999999994</c:v>
                </c:pt>
                <c:pt idx="10">
                  <c:v>0.94264599999999987</c:v>
                </c:pt>
                <c:pt idx="11">
                  <c:v>0.8277469999999999</c:v>
                </c:pt>
                <c:pt idx="12">
                  <c:v>3.0709999999999999E-3</c:v>
                </c:pt>
                <c:pt idx="13">
                  <c:v>2.0670000000000003E-3</c:v>
                </c:pt>
                <c:pt idx="14">
                  <c:v>3.065E-3</c:v>
                </c:pt>
                <c:pt idx="15">
                  <c:v>3.8929999999999998E-3</c:v>
                </c:pt>
                <c:pt idx="16">
                  <c:v>3.9940000000000002E-3</c:v>
                </c:pt>
                <c:pt idx="17">
                  <c:v>3.1229999999999999E-3</c:v>
                </c:pt>
                <c:pt idx="18">
                  <c:v>2.6554000000000001E-2</c:v>
                </c:pt>
                <c:pt idx="19">
                  <c:v>2.8064999999999996E-2</c:v>
                </c:pt>
                <c:pt idx="20">
                  <c:v>2.7672000000000002E-2</c:v>
                </c:pt>
              </c:numCache>
            </c:numRef>
          </c:yVal>
          <c:smooth val="0"/>
          <c:extLst>
            <c:ext xmlns:c16="http://schemas.microsoft.com/office/drawing/2014/chart" uri="{C3380CC4-5D6E-409C-BE32-E72D297353CC}">
              <c16:uniqueId val="{00000001-CF93-7844-ABB5-0561C1776975}"/>
            </c:ext>
          </c:extLst>
        </c:ser>
        <c:dLbls>
          <c:showLegendKey val="0"/>
          <c:showVal val="0"/>
          <c:showCatName val="0"/>
          <c:showSerName val="0"/>
          <c:showPercent val="0"/>
          <c:showBubbleSize val="0"/>
        </c:dLbls>
        <c:axId val="228856896"/>
        <c:axId val="228857288"/>
      </c:scatterChart>
      <c:valAx>
        <c:axId val="22885689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Standard Value (wt.%)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8857288"/>
        <c:crosses val="autoZero"/>
        <c:crossBetween val="midCat"/>
      </c:valAx>
      <c:valAx>
        <c:axId val="2288572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pXRF Reading (wt%)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8856896"/>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Iron</a:t>
            </a:r>
          </a:p>
        </c:rich>
      </c:tx>
      <c:layout>
        <c:manualLayout>
          <c:xMode val="edge"/>
          <c:yMode val="edge"/>
          <c:x val="0.48100952525165125"/>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414752242508148"/>
          <c:y val="7.4878873415864258E-2"/>
          <c:w val="0.83808622479882322"/>
          <c:h val="0.80369817385114994"/>
        </c:manualLayout>
      </c:layout>
      <c:scatterChart>
        <c:scatterStyle val="lineMarker"/>
        <c:varyColors val="0"/>
        <c:ser>
          <c:idx val="6"/>
          <c:order val="0"/>
          <c:tx>
            <c:v>Trendline</c:v>
          </c:tx>
          <c:spPr>
            <a:ln w="25400" cap="rnd">
              <a:noFill/>
              <a:round/>
            </a:ln>
            <a:effectLst/>
          </c:spPr>
          <c:marker>
            <c:symbol val="circle"/>
            <c:size val="5"/>
            <c:spPr>
              <a:solidFill>
                <a:schemeClr val="accent1">
                  <a:lumMod val="60000"/>
                </a:schemeClr>
              </a:solidFill>
              <a:ln w="9525">
                <a:solidFill>
                  <a:schemeClr val="accent1">
                    <a:lumMod val="60000"/>
                  </a:schemeClr>
                </a:solidFill>
              </a:ln>
              <a:effectLst/>
            </c:spPr>
          </c:marker>
          <c:trendline>
            <c:spPr>
              <a:ln w="19050" cap="rnd">
                <a:solidFill>
                  <a:schemeClr val="accent1">
                    <a:lumMod val="60000"/>
                  </a:schemeClr>
                </a:solidFill>
                <a:prstDash val="sysDot"/>
              </a:ln>
              <a:effectLst/>
            </c:spPr>
            <c:trendlineType val="linear"/>
            <c:dispRSqr val="1"/>
            <c:dispEq val="1"/>
            <c:trendlineLbl>
              <c:layout>
                <c:manualLayout>
                  <c:x val="-2.2944968417409364E-2"/>
                  <c:y val="-2.6450798523065987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Iron!$E$4:$E$30</c:f>
              <c:numCache>
                <c:formatCode>General</c:formatCode>
                <c:ptCount val="27"/>
                <c:pt idx="0">
                  <c:v>9.66</c:v>
                </c:pt>
                <c:pt idx="1">
                  <c:v>9.66</c:v>
                </c:pt>
                <c:pt idx="2">
                  <c:v>9.66</c:v>
                </c:pt>
                <c:pt idx="3">
                  <c:v>3.43</c:v>
                </c:pt>
                <c:pt idx="4">
                  <c:v>3.43</c:v>
                </c:pt>
                <c:pt idx="5">
                  <c:v>3.43</c:v>
                </c:pt>
                <c:pt idx="6">
                  <c:v>4.68</c:v>
                </c:pt>
                <c:pt idx="7">
                  <c:v>4.68</c:v>
                </c:pt>
                <c:pt idx="8">
                  <c:v>4.68</c:v>
                </c:pt>
                <c:pt idx="9">
                  <c:v>5.8050200000000007</c:v>
                </c:pt>
                <c:pt idx="10">
                  <c:v>5.8050200000000007</c:v>
                </c:pt>
                <c:pt idx="11">
                  <c:v>5.8050200000000007</c:v>
                </c:pt>
                <c:pt idx="12">
                  <c:v>6.7911740000000007</c:v>
                </c:pt>
                <c:pt idx="13">
                  <c:v>6.7911740000000007</c:v>
                </c:pt>
                <c:pt idx="14">
                  <c:v>6.7911740000000007</c:v>
                </c:pt>
                <c:pt idx="15">
                  <c:v>4.8872169999999997</c:v>
                </c:pt>
                <c:pt idx="16">
                  <c:v>4.8872169999999997</c:v>
                </c:pt>
                <c:pt idx="17">
                  <c:v>4.8872169999999997</c:v>
                </c:pt>
                <c:pt idx="18">
                  <c:v>3.6</c:v>
                </c:pt>
                <c:pt idx="19">
                  <c:v>3.6</c:v>
                </c:pt>
                <c:pt idx="20">
                  <c:v>3.6</c:v>
                </c:pt>
                <c:pt idx="21">
                  <c:v>3.97</c:v>
                </c:pt>
                <c:pt idx="22">
                  <c:v>3.97</c:v>
                </c:pt>
                <c:pt idx="23">
                  <c:v>3.97</c:v>
                </c:pt>
                <c:pt idx="24">
                  <c:v>3.36</c:v>
                </c:pt>
                <c:pt idx="25">
                  <c:v>3.36</c:v>
                </c:pt>
                <c:pt idx="26">
                  <c:v>3.36</c:v>
                </c:pt>
              </c:numCache>
            </c:numRef>
          </c:xVal>
          <c:yVal>
            <c:numRef>
              <c:f>Iron!$I$4:$I$30</c:f>
              <c:numCache>
                <c:formatCode>0.000</c:formatCode>
                <c:ptCount val="27"/>
                <c:pt idx="0">
                  <c:v>9.5815859999999997</c:v>
                </c:pt>
                <c:pt idx="1">
                  <c:v>9.5571699999999993</c:v>
                </c:pt>
                <c:pt idx="2">
                  <c:v>9.6386669999999999</c:v>
                </c:pt>
                <c:pt idx="3">
                  <c:v>3.4890120000000002</c:v>
                </c:pt>
                <c:pt idx="4">
                  <c:v>3.4965029999999997</c:v>
                </c:pt>
                <c:pt idx="5">
                  <c:v>3.5280980000000004</c:v>
                </c:pt>
                <c:pt idx="6">
                  <c:v>4.7478669999999994</c:v>
                </c:pt>
                <c:pt idx="7">
                  <c:v>4.7847839999999993</c:v>
                </c:pt>
                <c:pt idx="8">
                  <c:v>4.7393980000000004</c:v>
                </c:pt>
                <c:pt idx="9">
                  <c:v>6.0973379999999997</c:v>
                </c:pt>
                <c:pt idx="10">
                  <c:v>6.1027120000000004</c:v>
                </c:pt>
                <c:pt idx="11">
                  <c:v>5.7107289999999997</c:v>
                </c:pt>
                <c:pt idx="12">
                  <c:v>7.0887139999999995</c:v>
                </c:pt>
                <c:pt idx="13">
                  <c:v>7.0675929999999996</c:v>
                </c:pt>
                <c:pt idx="14">
                  <c:v>7.0941919999999996</c:v>
                </c:pt>
                <c:pt idx="15">
                  <c:v>4.820678</c:v>
                </c:pt>
                <c:pt idx="16">
                  <c:v>4.8082960000000003</c:v>
                </c:pt>
                <c:pt idx="17">
                  <c:v>4.8569979999999999</c:v>
                </c:pt>
                <c:pt idx="18">
                  <c:v>3.2251819999999998</c:v>
                </c:pt>
                <c:pt idx="19">
                  <c:v>3.2371050000000001</c:v>
                </c:pt>
                <c:pt idx="20">
                  <c:v>3.2173750000000001</c:v>
                </c:pt>
                <c:pt idx="21">
                  <c:v>4.1844919999999997</c:v>
                </c:pt>
                <c:pt idx="22">
                  <c:v>4.1718339999999996</c:v>
                </c:pt>
                <c:pt idx="23">
                  <c:v>4.1907269999999999</c:v>
                </c:pt>
                <c:pt idx="24">
                  <c:v>3.5174220000000003</c:v>
                </c:pt>
                <c:pt idx="25">
                  <c:v>3.4979980000000004</c:v>
                </c:pt>
                <c:pt idx="26">
                  <c:v>3.4945919999999999</c:v>
                </c:pt>
              </c:numCache>
            </c:numRef>
          </c:yVal>
          <c:smooth val="0"/>
          <c:extLst>
            <c:ext xmlns:c16="http://schemas.microsoft.com/office/drawing/2014/chart" uri="{C3380CC4-5D6E-409C-BE32-E72D297353CC}">
              <c16:uniqueId val="{00000001-76FE-624D-9D4D-DA5FAF0968F6}"/>
            </c:ext>
          </c:extLst>
        </c:ser>
        <c:dLbls>
          <c:showLegendKey val="0"/>
          <c:showVal val="0"/>
          <c:showCatName val="0"/>
          <c:showSerName val="0"/>
          <c:showPercent val="0"/>
          <c:showBubbleSize val="0"/>
        </c:dLbls>
        <c:axId val="228858072"/>
        <c:axId val="228858464"/>
      </c:scatterChart>
      <c:valAx>
        <c:axId val="22885807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Standard Value (wt.%)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8858464"/>
        <c:crosses val="autoZero"/>
        <c:crossBetween val="midCat"/>
      </c:valAx>
      <c:valAx>
        <c:axId val="2288584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pXRF Reading (wt%)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885807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Zinc</a:t>
            </a:r>
          </a:p>
        </c:rich>
      </c:tx>
      <c:layout>
        <c:manualLayout>
          <c:xMode val="edge"/>
          <c:yMode val="edge"/>
          <c:x val="0.48100952525165125"/>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414752242508148"/>
          <c:y val="7.4878873415864258E-2"/>
          <c:w val="0.83808622479882322"/>
          <c:h val="0.80369817385114994"/>
        </c:manualLayout>
      </c:layout>
      <c:scatterChart>
        <c:scatterStyle val="lineMarker"/>
        <c:varyColors val="0"/>
        <c:ser>
          <c:idx val="6"/>
          <c:order val="0"/>
          <c:tx>
            <c:v>Trendline</c:v>
          </c:tx>
          <c:spPr>
            <a:ln w="25400" cap="rnd">
              <a:noFill/>
              <a:round/>
            </a:ln>
            <a:effectLst/>
          </c:spPr>
          <c:marker>
            <c:symbol val="circle"/>
            <c:size val="5"/>
            <c:spPr>
              <a:solidFill>
                <a:schemeClr val="accent1">
                  <a:lumMod val="60000"/>
                </a:schemeClr>
              </a:solidFill>
              <a:ln w="9525">
                <a:solidFill>
                  <a:schemeClr val="accent1">
                    <a:lumMod val="60000"/>
                  </a:schemeClr>
                </a:solidFill>
              </a:ln>
              <a:effectLst/>
            </c:spPr>
          </c:marker>
          <c:trendline>
            <c:spPr>
              <a:ln w="19050" cap="rnd">
                <a:solidFill>
                  <a:schemeClr val="accent1">
                    <a:lumMod val="60000"/>
                  </a:schemeClr>
                </a:solidFill>
                <a:prstDash val="sysDot"/>
              </a:ln>
              <a:effectLst/>
            </c:spPr>
            <c:trendlineType val="linear"/>
            <c:dispRSqr val="1"/>
            <c:dispEq val="1"/>
            <c:trendlineLbl>
              <c:layout>
                <c:manualLayout>
                  <c:x val="-2.2944968417409364E-2"/>
                  <c:y val="-2.6450798523065987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Zinc!$E$4:$E$24</c:f>
              <c:numCache>
                <c:formatCode>General</c:formatCode>
                <c:ptCount val="21"/>
                <c:pt idx="0">
                  <c:v>1.2699999999999999E-2</c:v>
                </c:pt>
                <c:pt idx="1">
                  <c:v>1.2699999999999999E-2</c:v>
                </c:pt>
                <c:pt idx="2">
                  <c:v>1.2699999999999999E-2</c:v>
                </c:pt>
                <c:pt idx="3">
                  <c:v>1.2E-2</c:v>
                </c:pt>
                <c:pt idx="4">
                  <c:v>1.2E-2</c:v>
                </c:pt>
                <c:pt idx="5">
                  <c:v>1.2E-2</c:v>
                </c:pt>
                <c:pt idx="6">
                  <c:v>8.6E-3</c:v>
                </c:pt>
                <c:pt idx="7">
                  <c:v>8.6E-3</c:v>
                </c:pt>
                <c:pt idx="8">
                  <c:v>8.6E-3</c:v>
                </c:pt>
                <c:pt idx="9">
                  <c:v>0.16</c:v>
                </c:pt>
                <c:pt idx="10">
                  <c:v>0.16</c:v>
                </c:pt>
                <c:pt idx="11">
                  <c:v>0.16</c:v>
                </c:pt>
                <c:pt idx="12">
                  <c:v>1.8599999999999998E-2</c:v>
                </c:pt>
                <c:pt idx="13">
                  <c:v>1.8599999999999998E-2</c:v>
                </c:pt>
                <c:pt idx="14">
                  <c:v>1.8599999999999998E-2</c:v>
                </c:pt>
                <c:pt idx="15">
                  <c:v>1.03E-2</c:v>
                </c:pt>
                <c:pt idx="16">
                  <c:v>1.03E-2</c:v>
                </c:pt>
                <c:pt idx="17">
                  <c:v>1.03E-2</c:v>
                </c:pt>
                <c:pt idx="18">
                  <c:v>9.2999999999999999E-2</c:v>
                </c:pt>
                <c:pt idx="19">
                  <c:v>9.2999999999999999E-2</c:v>
                </c:pt>
                <c:pt idx="20">
                  <c:v>9.2999999999999999E-2</c:v>
                </c:pt>
              </c:numCache>
            </c:numRef>
          </c:xVal>
          <c:yVal>
            <c:numRef>
              <c:f>Zinc!$I$4:$I$24</c:f>
              <c:numCache>
                <c:formatCode>0.000</c:formatCode>
                <c:ptCount val="21"/>
                <c:pt idx="0">
                  <c:v>1.1446E-2</c:v>
                </c:pt>
                <c:pt idx="1">
                  <c:v>1.0999999999999999E-2</c:v>
                </c:pt>
                <c:pt idx="2">
                  <c:v>1.1172E-2</c:v>
                </c:pt>
                <c:pt idx="3">
                  <c:v>9.3609999999999995E-3</c:v>
                </c:pt>
                <c:pt idx="4">
                  <c:v>1.1041E-2</c:v>
                </c:pt>
                <c:pt idx="5">
                  <c:v>9.6760000000000006E-3</c:v>
                </c:pt>
                <c:pt idx="6">
                  <c:v>7.3239999999999998E-3</c:v>
                </c:pt>
                <c:pt idx="7">
                  <c:v>6.6829999999999997E-3</c:v>
                </c:pt>
                <c:pt idx="8">
                  <c:v>6.6530000000000001E-3</c:v>
                </c:pt>
                <c:pt idx="9">
                  <c:v>0.124154</c:v>
                </c:pt>
                <c:pt idx="10">
                  <c:v>0.122305</c:v>
                </c:pt>
                <c:pt idx="11">
                  <c:v>0.105931</c:v>
                </c:pt>
                <c:pt idx="12">
                  <c:v>1.8147999999999997E-2</c:v>
                </c:pt>
                <c:pt idx="13">
                  <c:v>1.7538999999999999E-2</c:v>
                </c:pt>
                <c:pt idx="14">
                  <c:v>1.9433000000000002E-2</c:v>
                </c:pt>
                <c:pt idx="15">
                  <c:v>8.9259999999999999E-3</c:v>
                </c:pt>
                <c:pt idx="16">
                  <c:v>9.5219999999999992E-3</c:v>
                </c:pt>
                <c:pt idx="17">
                  <c:v>8.7760000000000008E-3</c:v>
                </c:pt>
                <c:pt idx="18">
                  <c:v>8.3959000000000006E-2</c:v>
                </c:pt>
                <c:pt idx="19">
                  <c:v>8.3207000000000003E-2</c:v>
                </c:pt>
                <c:pt idx="20">
                  <c:v>8.3111000000000004E-2</c:v>
                </c:pt>
              </c:numCache>
            </c:numRef>
          </c:yVal>
          <c:smooth val="0"/>
          <c:extLst>
            <c:ext xmlns:c16="http://schemas.microsoft.com/office/drawing/2014/chart" uri="{C3380CC4-5D6E-409C-BE32-E72D297353CC}">
              <c16:uniqueId val="{00000001-E8AB-9940-9F43-F87704344498}"/>
            </c:ext>
          </c:extLst>
        </c:ser>
        <c:dLbls>
          <c:showLegendKey val="0"/>
          <c:showVal val="0"/>
          <c:showCatName val="0"/>
          <c:showSerName val="0"/>
          <c:showPercent val="0"/>
          <c:showBubbleSize val="0"/>
        </c:dLbls>
        <c:axId val="228859248"/>
        <c:axId val="228859640"/>
      </c:scatterChart>
      <c:valAx>
        <c:axId val="22885924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Standard Value (wt.%)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8859640"/>
        <c:crosses val="autoZero"/>
        <c:crossBetween val="midCat"/>
      </c:valAx>
      <c:valAx>
        <c:axId val="2288596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pXRF Reading (wt%)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8859248"/>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Phosphorous</a:t>
            </a:r>
          </a:p>
        </c:rich>
      </c:tx>
      <c:layout>
        <c:manualLayout>
          <c:xMode val="edge"/>
          <c:yMode val="edge"/>
          <c:x val="0.48100952525165125"/>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414752242508148"/>
          <c:y val="7.4878873415864258E-2"/>
          <c:w val="0.83808622479882322"/>
          <c:h val="0.80369817385114994"/>
        </c:manualLayout>
      </c:layout>
      <c:scatterChart>
        <c:scatterStyle val="lineMarker"/>
        <c:varyColors val="0"/>
        <c:ser>
          <c:idx val="6"/>
          <c:order val="0"/>
          <c:tx>
            <c:v>Trendline</c:v>
          </c:tx>
          <c:spPr>
            <a:ln w="25400" cap="rnd">
              <a:noFill/>
              <a:round/>
            </a:ln>
            <a:effectLst/>
          </c:spPr>
          <c:marker>
            <c:symbol val="circle"/>
            <c:size val="5"/>
            <c:spPr>
              <a:solidFill>
                <a:schemeClr val="accent1">
                  <a:lumMod val="60000"/>
                </a:schemeClr>
              </a:solidFill>
              <a:ln w="9525">
                <a:solidFill>
                  <a:schemeClr val="accent1">
                    <a:lumMod val="60000"/>
                  </a:schemeClr>
                </a:solidFill>
              </a:ln>
              <a:effectLst/>
            </c:spPr>
          </c:marker>
          <c:trendline>
            <c:spPr>
              <a:ln w="19050" cap="rnd">
                <a:solidFill>
                  <a:schemeClr val="accent1">
                    <a:lumMod val="60000"/>
                  </a:schemeClr>
                </a:solidFill>
                <a:prstDash val="sysDot"/>
              </a:ln>
              <a:effectLst/>
            </c:spPr>
            <c:trendlineType val="linear"/>
            <c:dispRSqr val="1"/>
            <c:dispEq val="1"/>
            <c:trendlineLbl>
              <c:layout>
                <c:manualLayout>
                  <c:x val="-2.2944968417409364E-2"/>
                  <c:y val="-2.6450798523065987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Phosphorous!$E$4:$E$24</c:f>
              <c:numCache>
                <c:formatCode>General</c:formatCode>
                <c:ptCount val="21"/>
                <c:pt idx="0">
                  <c:v>0.15</c:v>
                </c:pt>
                <c:pt idx="1">
                  <c:v>0.15</c:v>
                </c:pt>
                <c:pt idx="2">
                  <c:v>0.15</c:v>
                </c:pt>
                <c:pt idx="3">
                  <c:v>0.13</c:v>
                </c:pt>
                <c:pt idx="4">
                  <c:v>0.13</c:v>
                </c:pt>
                <c:pt idx="5">
                  <c:v>0.13</c:v>
                </c:pt>
                <c:pt idx="6">
                  <c:v>0.21</c:v>
                </c:pt>
                <c:pt idx="7">
                  <c:v>0.21</c:v>
                </c:pt>
                <c:pt idx="8">
                  <c:v>0.21</c:v>
                </c:pt>
                <c:pt idx="9" formatCode="0.0000">
                  <c:v>0.20075350732771488</c:v>
                </c:pt>
                <c:pt idx="10" formatCode="0.0000">
                  <c:v>0.20075350732771488</c:v>
                </c:pt>
                <c:pt idx="11" formatCode="0.0000">
                  <c:v>0.20075350732771488</c:v>
                </c:pt>
                <c:pt idx="12" formatCode="0.0000">
                  <c:v>0.16147564719837934</c:v>
                </c:pt>
                <c:pt idx="13" formatCode="0.0000">
                  <c:v>0.16147564719837934</c:v>
                </c:pt>
                <c:pt idx="14" formatCode="0.0000">
                  <c:v>0.16147564719837934</c:v>
                </c:pt>
                <c:pt idx="15" formatCode="0.0000">
                  <c:v>6.9827306896596483E-2</c:v>
                </c:pt>
                <c:pt idx="16" formatCode="0.0000">
                  <c:v>6.9827306896596483E-2</c:v>
                </c:pt>
                <c:pt idx="17" formatCode="0.0000">
                  <c:v>6.9827306896596483E-2</c:v>
                </c:pt>
                <c:pt idx="18">
                  <c:v>7.0000000000000007E-2</c:v>
                </c:pt>
                <c:pt idx="19">
                  <c:v>7.0000000000000007E-2</c:v>
                </c:pt>
                <c:pt idx="20">
                  <c:v>7.0000000000000007E-2</c:v>
                </c:pt>
              </c:numCache>
            </c:numRef>
          </c:xVal>
          <c:yVal>
            <c:numRef>
              <c:f>Phosphorous!$I$4:$I$24</c:f>
              <c:numCache>
                <c:formatCode>0.000</c:formatCode>
                <c:ptCount val="21"/>
                <c:pt idx="0">
                  <c:v>0.21182100000000001</c:v>
                </c:pt>
                <c:pt idx="1">
                  <c:v>0.192719</c:v>
                </c:pt>
                <c:pt idx="2">
                  <c:v>0.20277200000000001</c:v>
                </c:pt>
                <c:pt idx="3">
                  <c:v>0.18521400000000002</c:v>
                </c:pt>
                <c:pt idx="4">
                  <c:v>0.209452</c:v>
                </c:pt>
                <c:pt idx="5">
                  <c:v>0.20149500000000001</c:v>
                </c:pt>
                <c:pt idx="6">
                  <c:v>0.27862800000000004</c:v>
                </c:pt>
                <c:pt idx="7">
                  <c:v>0.28815200000000002</c:v>
                </c:pt>
                <c:pt idx="8">
                  <c:v>0.29671900000000001</c:v>
                </c:pt>
                <c:pt idx="9">
                  <c:v>0.24049499999999999</c:v>
                </c:pt>
                <c:pt idx="10">
                  <c:v>0.24524099999999999</c:v>
                </c:pt>
                <c:pt idx="11">
                  <c:v>0.22192600000000001</c:v>
                </c:pt>
                <c:pt idx="12">
                  <c:v>0.18174000000000001</c:v>
                </c:pt>
                <c:pt idx="13">
                  <c:v>0.191521</c:v>
                </c:pt>
                <c:pt idx="14">
                  <c:v>0.19259300000000001</c:v>
                </c:pt>
                <c:pt idx="15">
                  <c:v>0.114472</c:v>
                </c:pt>
                <c:pt idx="16">
                  <c:v>0.100175</c:v>
                </c:pt>
                <c:pt idx="17">
                  <c:v>0.12625799999999998</c:v>
                </c:pt>
                <c:pt idx="18">
                  <c:v>0.104353</c:v>
                </c:pt>
                <c:pt idx="19">
                  <c:v>9.2992999999999992E-2</c:v>
                </c:pt>
                <c:pt idx="20">
                  <c:v>0.11525099999999999</c:v>
                </c:pt>
              </c:numCache>
            </c:numRef>
          </c:yVal>
          <c:smooth val="0"/>
          <c:extLst>
            <c:ext xmlns:c16="http://schemas.microsoft.com/office/drawing/2014/chart" uri="{C3380CC4-5D6E-409C-BE32-E72D297353CC}">
              <c16:uniqueId val="{00000001-402A-5E41-9964-C7656F1BCA5A}"/>
            </c:ext>
          </c:extLst>
        </c:ser>
        <c:dLbls>
          <c:showLegendKey val="0"/>
          <c:showVal val="0"/>
          <c:showCatName val="0"/>
          <c:showSerName val="0"/>
          <c:showPercent val="0"/>
          <c:showBubbleSize val="0"/>
        </c:dLbls>
        <c:axId val="228455304"/>
        <c:axId val="228455696"/>
      </c:scatterChart>
      <c:valAx>
        <c:axId val="22845530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Standard Value (wt.%)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8455696"/>
        <c:crosses val="autoZero"/>
        <c:crossBetween val="midCat"/>
      </c:valAx>
      <c:valAx>
        <c:axId val="2284556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pXRF Reading (wt%)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845530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Niobium</a:t>
            </a:r>
          </a:p>
        </c:rich>
      </c:tx>
      <c:layout>
        <c:manualLayout>
          <c:xMode val="edge"/>
          <c:yMode val="edge"/>
          <c:x val="0.48100952525165125"/>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414752242508148"/>
          <c:y val="7.4878873415864258E-2"/>
          <c:w val="0.83808622479882322"/>
          <c:h val="0.80369817385114994"/>
        </c:manualLayout>
      </c:layout>
      <c:scatterChart>
        <c:scatterStyle val="lineMarker"/>
        <c:varyColors val="0"/>
        <c:ser>
          <c:idx val="6"/>
          <c:order val="0"/>
          <c:tx>
            <c:v>Trendline</c:v>
          </c:tx>
          <c:spPr>
            <a:ln w="25400" cap="rnd">
              <a:noFill/>
              <a:round/>
            </a:ln>
            <a:effectLst/>
          </c:spPr>
          <c:marker>
            <c:symbol val="circle"/>
            <c:size val="5"/>
            <c:spPr>
              <a:solidFill>
                <a:schemeClr val="accent1">
                  <a:lumMod val="60000"/>
                </a:schemeClr>
              </a:solidFill>
              <a:ln w="9525">
                <a:solidFill>
                  <a:schemeClr val="accent1">
                    <a:lumMod val="60000"/>
                  </a:schemeClr>
                </a:solidFill>
              </a:ln>
              <a:effectLst/>
            </c:spPr>
          </c:marker>
          <c:trendline>
            <c:spPr>
              <a:ln w="19050" cap="rnd">
                <a:solidFill>
                  <a:schemeClr val="accent1">
                    <a:lumMod val="60000"/>
                  </a:schemeClr>
                </a:solidFill>
                <a:prstDash val="sysDot"/>
              </a:ln>
              <a:effectLst/>
            </c:spPr>
            <c:trendlineType val="linear"/>
            <c:dispRSqr val="1"/>
            <c:dispEq val="1"/>
            <c:trendlineLbl>
              <c:layout>
                <c:manualLayout>
                  <c:x val="-2.2944968417409364E-2"/>
                  <c:y val="-2.6450798523065987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(Niobium!$E$7:$E$12,Niobium!$E$16:$E$27)</c:f>
              <c:numCache>
                <c:formatCode>General</c:formatCode>
                <c:ptCount val="18"/>
                <c:pt idx="0">
                  <c:v>2.7000000000000001E-3</c:v>
                </c:pt>
                <c:pt idx="1">
                  <c:v>2.7000000000000001E-3</c:v>
                </c:pt>
                <c:pt idx="2">
                  <c:v>2.7000000000000001E-3</c:v>
                </c:pt>
                <c:pt idx="3">
                  <c:v>1.5E-3</c:v>
                </c:pt>
                <c:pt idx="4">
                  <c:v>1.5E-3</c:v>
                </c:pt>
                <c:pt idx="5">
                  <c:v>1.5E-3</c:v>
                </c:pt>
                <c:pt idx="6">
                  <c:v>1.5300000000000001E-3</c:v>
                </c:pt>
                <c:pt idx="7">
                  <c:v>1.5300000000000001E-3</c:v>
                </c:pt>
                <c:pt idx="8">
                  <c:v>1.5300000000000001E-3</c:v>
                </c:pt>
                <c:pt idx="9">
                  <c:v>2.0999999999999999E-3</c:v>
                </c:pt>
                <c:pt idx="10">
                  <c:v>2.0999999999999999E-3</c:v>
                </c:pt>
                <c:pt idx="11">
                  <c:v>2.0999999999999999E-3</c:v>
                </c:pt>
                <c:pt idx="12">
                  <c:v>2.99E-3</c:v>
                </c:pt>
                <c:pt idx="13">
                  <c:v>2.99E-3</c:v>
                </c:pt>
                <c:pt idx="14">
                  <c:v>2.99E-3</c:v>
                </c:pt>
                <c:pt idx="15">
                  <c:v>1.5E-3</c:v>
                </c:pt>
                <c:pt idx="16">
                  <c:v>1.5E-3</c:v>
                </c:pt>
                <c:pt idx="17">
                  <c:v>1.5E-3</c:v>
                </c:pt>
              </c:numCache>
            </c:numRef>
          </c:xVal>
          <c:yVal>
            <c:numRef>
              <c:f>(Niobium!$I$7:$I$12,Niobium!$I$16:$I$27)</c:f>
              <c:numCache>
                <c:formatCode>0.000</c:formatCode>
                <c:ptCount val="18"/>
                <c:pt idx="0">
                  <c:v>2.3370000000000001E-3</c:v>
                </c:pt>
                <c:pt idx="1">
                  <c:v>2.5539999999999998E-3</c:v>
                </c:pt>
                <c:pt idx="2">
                  <c:v>2.6540000000000001E-3</c:v>
                </c:pt>
                <c:pt idx="3">
                  <c:v>1.3259999999999999E-3</c:v>
                </c:pt>
                <c:pt idx="4">
                  <c:v>1.24E-3</c:v>
                </c:pt>
                <c:pt idx="5">
                  <c:v>1.3779999999999999E-3</c:v>
                </c:pt>
                <c:pt idx="6">
                  <c:v>1.5199999999999999E-3</c:v>
                </c:pt>
                <c:pt idx="7">
                  <c:v>1.3990000000000001E-3</c:v>
                </c:pt>
                <c:pt idx="8">
                  <c:v>1.547E-3</c:v>
                </c:pt>
                <c:pt idx="9">
                  <c:v>1.8850000000000002E-3</c:v>
                </c:pt>
                <c:pt idx="10">
                  <c:v>1.6750000000000001E-3</c:v>
                </c:pt>
                <c:pt idx="11">
                  <c:v>1.738E-3</c:v>
                </c:pt>
                <c:pt idx="12">
                  <c:v>3.3869999999999998E-3</c:v>
                </c:pt>
                <c:pt idx="13">
                  <c:v>3.2130000000000001E-3</c:v>
                </c:pt>
                <c:pt idx="14">
                  <c:v>3.2789999999999998E-3</c:v>
                </c:pt>
                <c:pt idx="15">
                  <c:v>1.405E-3</c:v>
                </c:pt>
                <c:pt idx="16">
                  <c:v>1.6309999999999999E-3</c:v>
                </c:pt>
                <c:pt idx="17">
                  <c:v>1.539E-3</c:v>
                </c:pt>
              </c:numCache>
            </c:numRef>
          </c:yVal>
          <c:smooth val="0"/>
          <c:extLst>
            <c:ext xmlns:c16="http://schemas.microsoft.com/office/drawing/2014/chart" uri="{C3380CC4-5D6E-409C-BE32-E72D297353CC}">
              <c16:uniqueId val="{00000001-FE07-C246-8163-FECAB17E6D9C}"/>
            </c:ext>
          </c:extLst>
        </c:ser>
        <c:dLbls>
          <c:showLegendKey val="0"/>
          <c:showVal val="0"/>
          <c:showCatName val="0"/>
          <c:showSerName val="0"/>
          <c:showPercent val="0"/>
          <c:showBubbleSize val="0"/>
        </c:dLbls>
        <c:axId val="228456480"/>
        <c:axId val="228456872"/>
      </c:scatterChart>
      <c:valAx>
        <c:axId val="22845648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Standard Value (wt.%)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8456872"/>
        <c:crosses val="autoZero"/>
        <c:crossBetween val="midCat"/>
      </c:valAx>
      <c:valAx>
        <c:axId val="2284568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pXRF Reading (wt%)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845648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Vanadium</a:t>
            </a:r>
          </a:p>
        </c:rich>
      </c:tx>
      <c:layout>
        <c:manualLayout>
          <c:xMode val="edge"/>
          <c:yMode val="edge"/>
          <c:x val="0.48100952525165125"/>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414752242508148"/>
          <c:y val="7.4878873415864258E-2"/>
          <c:w val="0.83808622479882322"/>
          <c:h val="0.80369817385114994"/>
        </c:manualLayout>
      </c:layout>
      <c:scatterChart>
        <c:scatterStyle val="lineMarker"/>
        <c:varyColors val="0"/>
        <c:ser>
          <c:idx val="6"/>
          <c:order val="0"/>
          <c:tx>
            <c:v>Trendline</c:v>
          </c:tx>
          <c:spPr>
            <a:ln w="25400" cap="rnd">
              <a:noFill/>
              <a:round/>
            </a:ln>
            <a:effectLst/>
          </c:spPr>
          <c:marker>
            <c:symbol val="circle"/>
            <c:size val="5"/>
            <c:spPr>
              <a:solidFill>
                <a:schemeClr val="accent1">
                  <a:lumMod val="60000"/>
                </a:schemeClr>
              </a:solidFill>
              <a:ln w="9525">
                <a:solidFill>
                  <a:schemeClr val="accent1">
                    <a:lumMod val="60000"/>
                  </a:schemeClr>
                </a:solidFill>
              </a:ln>
              <a:effectLst/>
            </c:spPr>
          </c:marker>
          <c:trendline>
            <c:spPr>
              <a:ln w="19050" cap="rnd">
                <a:solidFill>
                  <a:schemeClr val="accent1">
                    <a:lumMod val="60000"/>
                  </a:schemeClr>
                </a:solidFill>
                <a:prstDash val="sysDot"/>
              </a:ln>
              <a:effectLst/>
            </c:spPr>
            <c:trendlineType val="linear"/>
            <c:dispRSqr val="1"/>
            <c:dispEq val="1"/>
            <c:trendlineLbl>
              <c:layout>
                <c:manualLayout>
                  <c:x val="-2.2944968417409364E-2"/>
                  <c:y val="-2.6450798523065987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Vanadium!$E$4:$E$24</c:f>
              <c:numCache>
                <c:formatCode>General</c:formatCode>
                <c:ptCount val="21"/>
                <c:pt idx="0">
                  <c:v>4.1599999999999998E-2</c:v>
                </c:pt>
                <c:pt idx="1">
                  <c:v>4.1599999999999998E-2</c:v>
                </c:pt>
                <c:pt idx="2">
                  <c:v>4.1599999999999998E-2</c:v>
                </c:pt>
                <c:pt idx="3">
                  <c:v>5.1999999999999998E-3</c:v>
                </c:pt>
                <c:pt idx="4">
                  <c:v>5.1999999999999998E-3</c:v>
                </c:pt>
                <c:pt idx="5">
                  <c:v>5.1999999999999998E-3</c:v>
                </c:pt>
                <c:pt idx="6">
                  <c:v>1.2E-2</c:v>
                </c:pt>
                <c:pt idx="7">
                  <c:v>1.2E-2</c:v>
                </c:pt>
                <c:pt idx="8">
                  <c:v>1.2E-2</c:v>
                </c:pt>
                <c:pt idx="9">
                  <c:v>5.7000000000000002E-2</c:v>
                </c:pt>
                <c:pt idx="10">
                  <c:v>5.7000000000000002E-2</c:v>
                </c:pt>
                <c:pt idx="11">
                  <c:v>5.7000000000000002E-2</c:v>
                </c:pt>
                <c:pt idx="12">
                  <c:v>2.1999999999999999E-2</c:v>
                </c:pt>
                <c:pt idx="13">
                  <c:v>2.1999999999999999E-2</c:v>
                </c:pt>
                <c:pt idx="14">
                  <c:v>2.1999999999999999E-2</c:v>
                </c:pt>
                <c:pt idx="15">
                  <c:v>1.0200000000000001E-2</c:v>
                </c:pt>
                <c:pt idx="16">
                  <c:v>1.0200000000000001E-2</c:v>
                </c:pt>
                <c:pt idx="17">
                  <c:v>1.0200000000000001E-2</c:v>
                </c:pt>
                <c:pt idx="18">
                  <c:v>6.7200000000000003E-3</c:v>
                </c:pt>
                <c:pt idx="19">
                  <c:v>6.7200000000000003E-3</c:v>
                </c:pt>
                <c:pt idx="20">
                  <c:v>6.7200000000000003E-3</c:v>
                </c:pt>
              </c:numCache>
            </c:numRef>
          </c:xVal>
          <c:yVal>
            <c:numRef>
              <c:f>Vanadium!$I$4:$I$24</c:f>
              <c:numCache>
                <c:formatCode>0.000</c:formatCode>
                <c:ptCount val="21"/>
                <c:pt idx="0">
                  <c:v>4.1175999999999997E-2</c:v>
                </c:pt>
                <c:pt idx="1">
                  <c:v>3.7749999999999999E-2</c:v>
                </c:pt>
                <c:pt idx="2">
                  <c:v>4.0411000000000002E-2</c:v>
                </c:pt>
                <c:pt idx="3">
                  <c:v>1.0324E-2</c:v>
                </c:pt>
                <c:pt idx="4">
                  <c:v>1.1242E-2</c:v>
                </c:pt>
                <c:pt idx="5">
                  <c:v>1.1715E-2</c:v>
                </c:pt>
                <c:pt idx="6">
                  <c:v>1.1951E-2</c:v>
                </c:pt>
                <c:pt idx="7">
                  <c:v>1.5491999999999999E-2</c:v>
                </c:pt>
                <c:pt idx="8">
                  <c:v>1.8713999999999998E-2</c:v>
                </c:pt>
                <c:pt idx="9">
                  <c:v>5.1549999999999999E-2</c:v>
                </c:pt>
                <c:pt idx="10">
                  <c:v>5.0013999999999996E-2</c:v>
                </c:pt>
                <c:pt idx="11">
                  <c:v>5.2937999999999999E-2</c:v>
                </c:pt>
                <c:pt idx="12">
                  <c:v>2.7473000000000001E-2</c:v>
                </c:pt>
                <c:pt idx="13">
                  <c:v>2.5656999999999999E-2</c:v>
                </c:pt>
                <c:pt idx="14">
                  <c:v>2.8192999999999999E-2</c:v>
                </c:pt>
                <c:pt idx="15">
                  <c:v>1.1524E-2</c:v>
                </c:pt>
                <c:pt idx="16">
                  <c:v>1.4477E-2</c:v>
                </c:pt>
                <c:pt idx="17">
                  <c:v>1.5162E-2</c:v>
                </c:pt>
                <c:pt idx="18">
                  <c:v>1.0536E-2</c:v>
                </c:pt>
                <c:pt idx="19">
                  <c:v>7.3959999999999998E-3</c:v>
                </c:pt>
                <c:pt idx="20">
                  <c:v>9.2329999999999999E-3</c:v>
                </c:pt>
              </c:numCache>
            </c:numRef>
          </c:yVal>
          <c:smooth val="0"/>
          <c:extLst>
            <c:ext xmlns:c16="http://schemas.microsoft.com/office/drawing/2014/chart" uri="{C3380CC4-5D6E-409C-BE32-E72D297353CC}">
              <c16:uniqueId val="{00000001-6DD5-7A4E-ACD4-66B6F3D0B4FD}"/>
            </c:ext>
          </c:extLst>
        </c:ser>
        <c:dLbls>
          <c:showLegendKey val="0"/>
          <c:showVal val="0"/>
          <c:showCatName val="0"/>
          <c:showSerName val="0"/>
          <c:showPercent val="0"/>
          <c:showBubbleSize val="0"/>
        </c:dLbls>
        <c:axId val="228457656"/>
        <c:axId val="228458048"/>
      </c:scatterChart>
      <c:valAx>
        <c:axId val="22845765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Standard Value (wt.%)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8458048"/>
        <c:crosses val="autoZero"/>
        <c:crossBetween val="midCat"/>
      </c:valAx>
      <c:valAx>
        <c:axId val="2284580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pXRF Reading (wt%)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8457656"/>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Calcium</a:t>
            </a:r>
          </a:p>
        </c:rich>
      </c:tx>
      <c:layout>
        <c:manualLayout>
          <c:xMode val="edge"/>
          <c:yMode val="edge"/>
          <c:x val="0.48100952525165125"/>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414752242508148"/>
          <c:y val="7.4878873415864258E-2"/>
          <c:w val="0.83808622479882322"/>
          <c:h val="0.80369817385114994"/>
        </c:manualLayout>
      </c:layout>
      <c:scatterChart>
        <c:scatterStyle val="lineMarker"/>
        <c:varyColors val="0"/>
        <c:ser>
          <c:idx val="6"/>
          <c:order val="0"/>
          <c:tx>
            <c:v>Trendline</c:v>
          </c:tx>
          <c:spPr>
            <a:ln w="25400" cap="rnd">
              <a:noFill/>
              <a:round/>
            </a:ln>
            <a:effectLst/>
          </c:spPr>
          <c:marker>
            <c:symbol val="circle"/>
            <c:size val="5"/>
            <c:spPr>
              <a:solidFill>
                <a:schemeClr val="accent1">
                  <a:lumMod val="60000"/>
                </a:schemeClr>
              </a:solidFill>
              <a:ln w="9525">
                <a:solidFill>
                  <a:schemeClr val="accent1">
                    <a:lumMod val="60000"/>
                  </a:schemeClr>
                </a:solidFill>
              </a:ln>
              <a:effectLst/>
            </c:spPr>
          </c:marker>
          <c:trendline>
            <c:spPr>
              <a:ln w="19050" cap="rnd">
                <a:solidFill>
                  <a:schemeClr val="accent1">
                    <a:lumMod val="60000"/>
                  </a:schemeClr>
                </a:solidFill>
                <a:prstDash val="sysDot"/>
              </a:ln>
              <a:effectLst/>
            </c:spPr>
            <c:trendlineType val="linear"/>
            <c:dispRSqr val="1"/>
            <c:dispEq val="1"/>
            <c:trendlineLbl>
              <c:layout>
                <c:manualLayout>
                  <c:x val="-2.2944968417409364E-2"/>
                  <c:y val="-2.6450798523065987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Calcium!$E$4:$E$24</c:f>
              <c:numCache>
                <c:formatCode>General</c:formatCode>
                <c:ptCount val="21"/>
                <c:pt idx="0">
                  <c:v>5.09</c:v>
                </c:pt>
                <c:pt idx="1">
                  <c:v>5.09</c:v>
                </c:pt>
                <c:pt idx="2">
                  <c:v>5.09</c:v>
                </c:pt>
                <c:pt idx="3">
                  <c:v>1.5</c:v>
                </c:pt>
                <c:pt idx="4">
                  <c:v>1.5</c:v>
                </c:pt>
                <c:pt idx="5">
                  <c:v>1.5</c:v>
                </c:pt>
                <c:pt idx="6">
                  <c:v>3.72</c:v>
                </c:pt>
                <c:pt idx="7">
                  <c:v>3.72</c:v>
                </c:pt>
                <c:pt idx="8">
                  <c:v>3.72</c:v>
                </c:pt>
                <c:pt idx="9">
                  <c:v>2.21557</c:v>
                </c:pt>
                <c:pt idx="10">
                  <c:v>2.21557</c:v>
                </c:pt>
                <c:pt idx="11">
                  <c:v>2.21557</c:v>
                </c:pt>
                <c:pt idx="12">
                  <c:v>2.108365</c:v>
                </c:pt>
                <c:pt idx="13">
                  <c:v>2.108365</c:v>
                </c:pt>
                <c:pt idx="14">
                  <c:v>2.108365</c:v>
                </c:pt>
                <c:pt idx="15">
                  <c:v>1.00058</c:v>
                </c:pt>
                <c:pt idx="16">
                  <c:v>1.00058</c:v>
                </c:pt>
                <c:pt idx="17">
                  <c:v>1.00058</c:v>
                </c:pt>
                <c:pt idx="18">
                  <c:v>0.61</c:v>
                </c:pt>
                <c:pt idx="19">
                  <c:v>0.61</c:v>
                </c:pt>
                <c:pt idx="20">
                  <c:v>0.61</c:v>
                </c:pt>
              </c:numCache>
            </c:numRef>
          </c:xVal>
          <c:yVal>
            <c:numRef>
              <c:f>Calcium!$I$4:$I$24</c:f>
              <c:numCache>
                <c:formatCode>0.000</c:formatCode>
                <c:ptCount val="21"/>
                <c:pt idx="0">
                  <c:v>5.5214280000000002</c:v>
                </c:pt>
                <c:pt idx="1">
                  <c:v>5.4726819999999998</c:v>
                </c:pt>
                <c:pt idx="2">
                  <c:v>5.4673999999999996</c:v>
                </c:pt>
                <c:pt idx="3">
                  <c:v>1.6686049999999999</c:v>
                </c:pt>
                <c:pt idx="4">
                  <c:v>1.7198990000000001</c:v>
                </c:pt>
                <c:pt idx="5">
                  <c:v>1.679224</c:v>
                </c:pt>
                <c:pt idx="6">
                  <c:v>3.9775199999999997</c:v>
                </c:pt>
                <c:pt idx="7">
                  <c:v>3.9892300000000005</c:v>
                </c:pt>
                <c:pt idx="8">
                  <c:v>3.9804489999999997</c:v>
                </c:pt>
                <c:pt idx="9">
                  <c:v>2.26823</c:v>
                </c:pt>
                <c:pt idx="10">
                  <c:v>2.2762330000000004</c:v>
                </c:pt>
                <c:pt idx="11">
                  <c:v>2.2340230000000001</c:v>
                </c:pt>
                <c:pt idx="12">
                  <c:v>2.2943720000000001</c:v>
                </c:pt>
                <c:pt idx="13">
                  <c:v>2.3566590000000001</c:v>
                </c:pt>
                <c:pt idx="14">
                  <c:v>2.3711679999999999</c:v>
                </c:pt>
                <c:pt idx="15">
                  <c:v>1.1617540000000002</c:v>
                </c:pt>
                <c:pt idx="16">
                  <c:v>1.1689080000000001</c:v>
                </c:pt>
                <c:pt idx="17">
                  <c:v>1.1780740000000001</c:v>
                </c:pt>
                <c:pt idx="18">
                  <c:v>0.49104799999999993</c:v>
                </c:pt>
                <c:pt idx="19">
                  <c:v>0.47827399999999998</c:v>
                </c:pt>
                <c:pt idx="20">
                  <c:v>0.49033699999999997</c:v>
                </c:pt>
              </c:numCache>
            </c:numRef>
          </c:yVal>
          <c:smooth val="0"/>
          <c:extLst>
            <c:ext xmlns:c16="http://schemas.microsoft.com/office/drawing/2014/chart" uri="{C3380CC4-5D6E-409C-BE32-E72D297353CC}">
              <c16:uniqueId val="{00000001-5093-D644-B370-AA5AF9B5652C}"/>
            </c:ext>
          </c:extLst>
        </c:ser>
        <c:dLbls>
          <c:showLegendKey val="0"/>
          <c:showVal val="0"/>
          <c:showCatName val="0"/>
          <c:showSerName val="0"/>
          <c:showPercent val="0"/>
          <c:showBubbleSize val="0"/>
        </c:dLbls>
        <c:axId val="228704240"/>
        <c:axId val="228704632"/>
      </c:scatterChart>
      <c:valAx>
        <c:axId val="22870424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Standard Value (wt.%)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8704632"/>
        <c:crosses val="autoZero"/>
        <c:crossBetween val="midCat"/>
      </c:valAx>
      <c:valAx>
        <c:axId val="2287046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pXRF Reading (wt%)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870424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Potassium</a:t>
            </a:r>
          </a:p>
        </c:rich>
      </c:tx>
      <c:layout>
        <c:manualLayout>
          <c:xMode val="edge"/>
          <c:yMode val="edge"/>
          <c:x val="0.48100952525165125"/>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414752242508148"/>
          <c:y val="7.4878873415864258E-2"/>
          <c:w val="0.83808622479882322"/>
          <c:h val="0.80369817385114994"/>
        </c:manualLayout>
      </c:layout>
      <c:scatterChart>
        <c:scatterStyle val="lineMarker"/>
        <c:varyColors val="0"/>
        <c:ser>
          <c:idx val="6"/>
          <c:order val="0"/>
          <c:tx>
            <c:v>Trendline</c:v>
          </c:tx>
          <c:spPr>
            <a:ln w="25400" cap="rnd">
              <a:noFill/>
              <a:round/>
            </a:ln>
            <a:effectLst/>
          </c:spPr>
          <c:marker>
            <c:symbol val="circle"/>
            <c:size val="5"/>
            <c:spPr>
              <a:solidFill>
                <a:schemeClr val="accent1">
                  <a:lumMod val="60000"/>
                </a:schemeClr>
              </a:solidFill>
              <a:ln w="9525">
                <a:solidFill>
                  <a:schemeClr val="accent1">
                    <a:lumMod val="60000"/>
                  </a:schemeClr>
                </a:solidFill>
              </a:ln>
              <a:effectLst/>
            </c:spPr>
          </c:marker>
          <c:trendline>
            <c:spPr>
              <a:ln w="19050" cap="rnd">
                <a:solidFill>
                  <a:schemeClr val="accent1">
                    <a:lumMod val="60000"/>
                  </a:schemeClr>
                </a:solidFill>
                <a:prstDash val="sysDot"/>
              </a:ln>
              <a:effectLst/>
            </c:spPr>
            <c:trendlineType val="linear"/>
            <c:dispRSqr val="1"/>
            <c:dispEq val="1"/>
            <c:trendlineLbl>
              <c:layout>
                <c:manualLayout>
                  <c:x val="-2.2944968417409364E-2"/>
                  <c:y val="-2.6450798523065987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Potassium!$E$4:$E$24</c:f>
              <c:numCache>
                <c:formatCode>General</c:formatCode>
                <c:ptCount val="21"/>
                <c:pt idx="0">
                  <c:v>1.49</c:v>
                </c:pt>
                <c:pt idx="1">
                  <c:v>1.49</c:v>
                </c:pt>
                <c:pt idx="2">
                  <c:v>1.49</c:v>
                </c:pt>
                <c:pt idx="3">
                  <c:v>4.4800000000000004</c:v>
                </c:pt>
                <c:pt idx="4">
                  <c:v>4.4800000000000004</c:v>
                </c:pt>
                <c:pt idx="5">
                  <c:v>4.4800000000000004</c:v>
                </c:pt>
                <c:pt idx="6">
                  <c:v>2.39</c:v>
                </c:pt>
                <c:pt idx="7">
                  <c:v>2.39</c:v>
                </c:pt>
                <c:pt idx="8">
                  <c:v>2.39</c:v>
                </c:pt>
                <c:pt idx="9">
                  <c:v>0.99611999999999989</c:v>
                </c:pt>
                <c:pt idx="10">
                  <c:v>0.99611999999999989</c:v>
                </c:pt>
                <c:pt idx="11">
                  <c:v>0.99611999999999989</c:v>
                </c:pt>
                <c:pt idx="12">
                  <c:v>2.863845</c:v>
                </c:pt>
                <c:pt idx="13">
                  <c:v>2.863845</c:v>
                </c:pt>
                <c:pt idx="14">
                  <c:v>2.863845</c:v>
                </c:pt>
                <c:pt idx="15">
                  <c:v>2.7227279999999996</c:v>
                </c:pt>
                <c:pt idx="16">
                  <c:v>2.7227279999999996</c:v>
                </c:pt>
                <c:pt idx="17">
                  <c:v>2.7227279999999996</c:v>
                </c:pt>
                <c:pt idx="18">
                  <c:v>2.9385539999999999</c:v>
                </c:pt>
                <c:pt idx="19">
                  <c:v>2.9385539999999999</c:v>
                </c:pt>
                <c:pt idx="20">
                  <c:v>2.9385539999999999</c:v>
                </c:pt>
              </c:numCache>
            </c:numRef>
          </c:xVal>
          <c:yVal>
            <c:numRef>
              <c:f>Potassium!$I$4:$I$24</c:f>
              <c:numCache>
                <c:formatCode>0.000</c:formatCode>
                <c:ptCount val="21"/>
                <c:pt idx="0">
                  <c:v>1.4656870000000002</c:v>
                </c:pt>
                <c:pt idx="1">
                  <c:v>1.44848</c:v>
                </c:pt>
                <c:pt idx="2">
                  <c:v>1.460936</c:v>
                </c:pt>
                <c:pt idx="3">
                  <c:v>4.1957800000000001</c:v>
                </c:pt>
                <c:pt idx="4">
                  <c:v>4.1996660000000006</c:v>
                </c:pt>
                <c:pt idx="5">
                  <c:v>4.2092589999999994</c:v>
                </c:pt>
                <c:pt idx="6">
                  <c:v>2.1774009999999997</c:v>
                </c:pt>
                <c:pt idx="7">
                  <c:v>2.195001</c:v>
                </c:pt>
                <c:pt idx="8">
                  <c:v>2.1665130000000001</c:v>
                </c:pt>
                <c:pt idx="9">
                  <c:v>1.356341</c:v>
                </c:pt>
                <c:pt idx="10">
                  <c:v>1.384976</c:v>
                </c:pt>
                <c:pt idx="11">
                  <c:v>1.3210770000000001</c:v>
                </c:pt>
                <c:pt idx="12">
                  <c:v>2.6470380000000002</c:v>
                </c:pt>
                <c:pt idx="13">
                  <c:v>2.7704680000000002</c:v>
                </c:pt>
                <c:pt idx="14">
                  <c:v>2.7135150000000001</c:v>
                </c:pt>
                <c:pt idx="15">
                  <c:v>2.491336</c:v>
                </c:pt>
                <c:pt idx="16">
                  <c:v>2.4714009999999997</c:v>
                </c:pt>
                <c:pt idx="17">
                  <c:v>2.4664900000000003</c:v>
                </c:pt>
                <c:pt idx="18">
                  <c:v>2.7787950000000001</c:v>
                </c:pt>
                <c:pt idx="19">
                  <c:v>2.7804500000000001</c:v>
                </c:pt>
                <c:pt idx="20">
                  <c:v>2.767531</c:v>
                </c:pt>
              </c:numCache>
            </c:numRef>
          </c:yVal>
          <c:smooth val="0"/>
          <c:extLst>
            <c:ext xmlns:c16="http://schemas.microsoft.com/office/drawing/2014/chart" uri="{C3380CC4-5D6E-409C-BE32-E72D297353CC}">
              <c16:uniqueId val="{00000001-33E3-8F44-9F0B-8F2AAF78370C}"/>
            </c:ext>
          </c:extLst>
        </c:ser>
        <c:dLbls>
          <c:showLegendKey val="0"/>
          <c:showVal val="0"/>
          <c:showCatName val="0"/>
          <c:showSerName val="0"/>
          <c:showPercent val="0"/>
          <c:showBubbleSize val="0"/>
        </c:dLbls>
        <c:axId val="228705416"/>
        <c:axId val="228705808"/>
      </c:scatterChart>
      <c:valAx>
        <c:axId val="22870541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Standard Value (wt.%)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8705808"/>
        <c:crosses val="autoZero"/>
        <c:crossBetween val="midCat"/>
      </c:valAx>
      <c:valAx>
        <c:axId val="2287058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pXRF Reading (wt%)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8705416"/>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Manganese</a:t>
            </a:r>
          </a:p>
        </c:rich>
      </c:tx>
      <c:layout>
        <c:manualLayout>
          <c:xMode val="edge"/>
          <c:yMode val="edge"/>
          <c:x val="0.48100952525165125"/>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414752242508148"/>
          <c:y val="7.4878873415864258E-2"/>
          <c:w val="0.83808622479882322"/>
          <c:h val="0.80369817385114994"/>
        </c:manualLayout>
      </c:layout>
      <c:scatterChart>
        <c:scatterStyle val="lineMarker"/>
        <c:varyColors val="0"/>
        <c:ser>
          <c:idx val="6"/>
          <c:order val="0"/>
          <c:tx>
            <c:v>Trendline</c:v>
          </c:tx>
          <c:spPr>
            <a:ln w="25400" cap="rnd">
              <a:noFill/>
              <a:round/>
            </a:ln>
            <a:effectLst/>
          </c:spPr>
          <c:marker>
            <c:symbol val="circle"/>
            <c:size val="5"/>
            <c:spPr>
              <a:solidFill>
                <a:schemeClr val="accent1">
                  <a:lumMod val="60000"/>
                </a:schemeClr>
              </a:solidFill>
              <a:ln w="9525">
                <a:solidFill>
                  <a:schemeClr val="accent1">
                    <a:lumMod val="60000"/>
                  </a:schemeClr>
                </a:solidFill>
              </a:ln>
              <a:effectLst/>
            </c:spPr>
          </c:marker>
          <c:trendline>
            <c:spPr>
              <a:ln w="19050" cap="rnd">
                <a:solidFill>
                  <a:schemeClr val="accent1">
                    <a:lumMod val="60000"/>
                  </a:schemeClr>
                </a:solidFill>
                <a:prstDash val="sysDot"/>
              </a:ln>
              <a:effectLst/>
            </c:spPr>
            <c:trendlineType val="linear"/>
            <c:dispRSqr val="1"/>
            <c:dispEq val="1"/>
            <c:trendlineLbl>
              <c:layout>
                <c:manualLayout>
                  <c:x val="-2.2944968417409364E-2"/>
                  <c:y val="-2.6450798523065987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Manganese!$E$4:$E$24</c:f>
              <c:numCache>
                <c:formatCode>General</c:formatCode>
                <c:ptCount val="21"/>
                <c:pt idx="0">
                  <c:v>0.152</c:v>
                </c:pt>
                <c:pt idx="1">
                  <c:v>0.152</c:v>
                </c:pt>
                <c:pt idx="2">
                  <c:v>0.152</c:v>
                </c:pt>
                <c:pt idx="3">
                  <c:v>3.2000000000000001E-2</c:v>
                </c:pt>
                <c:pt idx="4">
                  <c:v>3.2000000000000001E-2</c:v>
                </c:pt>
                <c:pt idx="5">
                  <c:v>3.2000000000000001E-2</c:v>
                </c:pt>
                <c:pt idx="6">
                  <c:v>7.6999999999999999E-2</c:v>
                </c:pt>
                <c:pt idx="7">
                  <c:v>7.6999999999999999E-2</c:v>
                </c:pt>
                <c:pt idx="8">
                  <c:v>7.6999999999999999E-2</c:v>
                </c:pt>
                <c:pt idx="9">
                  <c:v>29.121199999999998</c:v>
                </c:pt>
                <c:pt idx="10">
                  <c:v>29.121199999999998</c:v>
                </c:pt>
                <c:pt idx="11">
                  <c:v>29.121199999999998</c:v>
                </c:pt>
                <c:pt idx="12">
                  <c:v>0.11617499999999999</c:v>
                </c:pt>
                <c:pt idx="13">
                  <c:v>0.11617499999999999</c:v>
                </c:pt>
                <c:pt idx="14">
                  <c:v>0.11617499999999999</c:v>
                </c:pt>
                <c:pt idx="15">
                  <c:v>8.7999999999999995E-2</c:v>
                </c:pt>
                <c:pt idx="16">
                  <c:v>8.7999999999999995E-2</c:v>
                </c:pt>
                <c:pt idx="17">
                  <c:v>8.7999999999999995E-2</c:v>
                </c:pt>
                <c:pt idx="18">
                  <c:v>0.52200000000000002</c:v>
                </c:pt>
                <c:pt idx="19">
                  <c:v>0.52200000000000002</c:v>
                </c:pt>
                <c:pt idx="20">
                  <c:v>0.52200000000000002</c:v>
                </c:pt>
              </c:numCache>
            </c:numRef>
          </c:xVal>
          <c:yVal>
            <c:numRef>
              <c:f>Manganese!$I$4:$I$24</c:f>
              <c:numCache>
                <c:formatCode>0.000</c:formatCode>
                <c:ptCount val="21"/>
                <c:pt idx="0">
                  <c:v>0.15529300000000001</c:v>
                </c:pt>
                <c:pt idx="1">
                  <c:v>0.161972</c:v>
                </c:pt>
                <c:pt idx="2">
                  <c:v>0.16673199999999999</c:v>
                </c:pt>
                <c:pt idx="3">
                  <c:v>2.7538E-2</c:v>
                </c:pt>
                <c:pt idx="4">
                  <c:v>3.0104000000000002E-2</c:v>
                </c:pt>
                <c:pt idx="5">
                  <c:v>2.4555E-2</c:v>
                </c:pt>
                <c:pt idx="6">
                  <c:v>6.6711000000000006E-2</c:v>
                </c:pt>
                <c:pt idx="7">
                  <c:v>7.0510000000000003E-2</c:v>
                </c:pt>
                <c:pt idx="8">
                  <c:v>5.9635000000000001E-2</c:v>
                </c:pt>
                <c:pt idx="9">
                  <c:v>32.825728000000005</c:v>
                </c:pt>
                <c:pt idx="10">
                  <c:v>32.547996999999995</c:v>
                </c:pt>
                <c:pt idx="11">
                  <c:v>30.139521999999996</c:v>
                </c:pt>
                <c:pt idx="12">
                  <c:v>0.11247500000000001</c:v>
                </c:pt>
                <c:pt idx="13">
                  <c:v>0.104726</c:v>
                </c:pt>
                <c:pt idx="14">
                  <c:v>0.10383699999999998</c:v>
                </c:pt>
                <c:pt idx="15">
                  <c:v>6.9079000000000002E-2</c:v>
                </c:pt>
                <c:pt idx="16">
                  <c:v>7.3917999999999998E-2</c:v>
                </c:pt>
                <c:pt idx="17">
                  <c:v>7.182899999999999E-2</c:v>
                </c:pt>
                <c:pt idx="18">
                  <c:v>0.45736400000000005</c:v>
                </c:pt>
                <c:pt idx="19">
                  <c:v>0.45476499999999997</c:v>
                </c:pt>
                <c:pt idx="20">
                  <c:v>0.46176800000000001</c:v>
                </c:pt>
              </c:numCache>
            </c:numRef>
          </c:yVal>
          <c:smooth val="0"/>
          <c:extLst>
            <c:ext xmlns:c16="http://schemas.microsoft.com/office/drawing/2014/chart" uri="{C3380CC4-5D6E-409C-BE32-E72D297353CC}">
              <c16:uniqueId val="{00000001-360E-6640-A864-447CF46DD966}"/>
            </c:ext>
          </c:extLst>
        </c:ser>
        <c:dLbls>
          <c:showLegendKey val="0"/>
          <c:showVal val="0"/>
          <c:showCatName val="0"/>
          <c:showSerName val="0"/>
          <c:showPercent val="0"/>
          <c:showBubbleSize val="0"/>
        </c:dLbls>
        <c:axId val="228706592"/>
        <c:axId val="228706984"/>
      </c:scatterChart>
      <c:valAx>
        <c:axId val="22870659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Standard Value (wt.%)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8706984"/>
        <c:crosses val="autoZero"/>
        <c:crossBetween val="midCat"/>
      </c:valAx>
      <c:valAx>
        <c:axId val="2287069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pXRF Reading (wt%)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870659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Silica</a:t>
            </a:r>
          </a:p>
        </c:rich>
      </c:tx>
      <c:layout>
        <c:manualLayout>
          <c:xMode val="edge"/>
          <c:yMode val="edge"/>
          <c:x val="0.48100952525165125"/>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414752242508148"/>
          <c:y val="7.4878873415864258E-2"/>
          <c:w val="0.83808622479882322"/>
          <c:h val="0.80369817385114994"/>
        </c:manualLayout>
      </c:layout>
      <c:scatterChart>
        <c:scatterStyle val="lineMarker"/>
        <c:varyColors val="0"/>
        <c:ser>
          <c:idx val="0"/>
          <c:order val="0"/>
          <c:tx>
            <c:v>BCR-2</c:v>
          </c:tx>
          <c:spPr>
            <a:ln w="25400" cap="rnd">
              <a:noFill/>
              <a:round/>
            </a:ln>
            <a:effectLst/>
          </c:spPr>
          <c:marker>
            <c:symbol val="circle"/>
            <c:size val="5"/>
            <c:spPr>
              <a:solidFill>
                <a:schemeClr val="accent1"/>
              </a:solidFill>
              <a:ln w="9525">
                <a:solidFill>
                  <a:schemeClr val="accent1"/>
                </a:solidFill>
              </a:ln>
              <a:effectLst/>
            </c:spPr>
          </c:marker>
          <c:xVal>
            <c:numRef>
              <c:f>('BCR-2'!$B$10,'BCR-2'!$B$10,'BCR-2'!$B$10)</c:f>
              <c:numCache>
                <c:formatCode>General</c:formatCode>
                <c:ptCount val="3"/>
                <c:pt idx="0">
                  <c:v>25.3</c:v>
                </c:pt>
                <c:pt idx="1">
                  <c:v>25.3</c:v>
                </c:pt>
                <c:pt idx="2">
                  <c:v>25.3</c:v>
                </c:pt>
              </c:numCache>
            </c:numRef>
          </c:xVal>
          <c:yVal>
            <c:numRef>
              <c:f>Standard_Testing_3242015!$CV$2:$CV$4</c:f>
              <c:numCache>
                <c:formatCode>0.00</c:formatCode>
                <c:ptCount val="3"/>
                <c:pt idx="0">
                  <c:v>26.027298000000002</c:v>
                </c:pt>
                <c:pt idx="1">
                  <c:v>26.136148000000002</c:v>
                </c:pt>
                <c:pt idx="2">
                  <c:v>26.214475</c:v>
                </c:pt>
              </c:numCache>
            </c:numRef>
          </c:yVal>
          <c:smooth val="0"/>
          <c:extLst>
            <c:ext xmlns:c16="http://schemas.microsoft.com/office/drawing/2014/chart" uri="{C3380CC4-5D6E-409C-BE32-E72D297353CC}">
              <c16:uniqueId val="{00000000-2679-2043-B983-895548D69F47}"/>
            </c:ext>
          </c:extLst>
        </c:ser>
        <c:ser>
          <c:idx val="6"/>
          <c:order val="1"/>
          <c:tx>
            <c:v>Trendline</c:v>
          </c:tx>
          <c:spPr>
            <a:ln w="25400" cap="rnd">
              <a:noFill/>
              <a:round/>
            </a:ln>
            <a:effectLst/>
          </c:spPr>
          <c:marker>
            <c:symbol val="circle"/>
            <c:size val="5"/>
            <c:spPr>
              <a:solidFill>
                <a:schemeClr val="accent1">
                  <a:lumMod val="60000"/>
                </a:schemeClr>
              </a:solidFill>
              <a:ln w="9525">
                <a:solidFill>
                  <a:schemeClr val="accent1">
                    <a:lumMod val="60000"/>
                  </a:schemeClr>
                </a:solidFill>
              </a:ln>
              <a:effectLst/>
            </c:spPr>
          </c:marker>
          <c:trendline>
            <c:spPr>
              <a:ln w="19050" cap="rnd">
                <a:solidFill>
                  <a:schemeClr val="accent1">
                    <a:lumMod val="60000"/>
                  </a:schemeClr>
                </a:solidFill>
                <a:prstDash val="sysDot"/>
              </a:ln>
              <a:effectLst/>
            </c:spPr>
            <c:trendlineType val="linear"/>
            <c:dispRSqr val="1"/>
            <c:dispEq val="1"/>
            <c:trendlineLbl>
              <c:layout>
                <c:manualLayout>
                  <c:x val="-2.2944968417409364E-2"/>
                  <c:y val="-2.6450798523065987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Silica_!$E$4:$E$27</c:f>
              <c:numCache>
                <c:formatCode>General</c:formatCode>
                <c:ptCount val="24"/>
                <c:pt idx="0">
                  <c:v>30.754919999999998</c:v>
                </c:pt>
                <c:pt idx="1">
                  <c:v>30.754919999999998</c:v>
                </c:pt>
                <c:pt idx="2">
                  <c:v>30.754919999999998</c:v>
                </c:pt>
                <c:pt idx="3">
                  <c:v>22.266936000000001</c:v>
                </c:pt>
                <c:pt idx="4">
                  <c:v>22.266936000000001</c:v>
                </c:pt>
                <c:pt idx="5">
                  <c:v>22.266936000000001</c:v>
                </c:pt>
                <c:pt idx="6">
                  <c:v>6.4968599999999999</c:v>
                </c:pt>
                <c:pt idx="7">
                  <c:v>6.4968599999999999</c:v>
                </c:pt>
                <c:pt idx="8">
                  <c:v>6.4968599999999999</c:v>
                </c:pt>
                <c:pt idx="9">
                  <c:v>31.1</c:v>
                </c:pt>
                <c:pt idx="10">
                  <c:v>31.1</c:v>
                </c:pt>
                <c:pt idx="11">
                  <c:v>31.1</c:v>
                </c:pt>
                <c:pt idx="12">
                  <c:v>27.7</c:v>
                </c:pt>
                <c:pt idx="13">
                  <c:v>27.7</c:v>
                </c:pt>
                <c:pt idx="14">
                  <c:v>27.7</c:v>
                </c:pt>
                <c:pt idx="15">
                  <c:v>25.3</c:v>
                </c:pt>
                <c:pt idx="16">
                  <c:v>25.3</c:v>
                </c:pt>
                <c:pt idx="17">
                  <c:v>25.3</c:v>
                </c:pt>
                <c:pt idx="18">
                  <c:v>30.3</c:v>
                </c:pt>
                <c:pt idx="19">
                  <c:v>30.3</c:v>
                </c:pt>
                <c:pt idx="20">
                  <c:v>30.3</c:v>
                </c:pt>
                <c:pt idx="21">
                  <c:v>33.746279999999999</c:v>
                </c:pt>
                <c:pt idx="22">
                  <c:v>33.746279999999999</c:v>
                </c:pt>
                <c:pt idx="23">
                  <c:v>33.746279999999999</c:v>
                </c:pt>
              </c:numCache>
            </c:numRef>
          </c:xVal>
          <c:yVal>
            <c:numRef>
              <c:f>Silica_!$I$4:$I$27</c:f>
              <c:numCache>
                <c:formatCode>0.00</c:formatCode>
                <c:ptCount val="24"/>
                <c:pt idx="0">
                  <c:v>33.058512999999998</c:v>
                </c:pt>
                <c:pt idx="1">
                  <c:v>33.303628000000003</c:v>
                </c:pt>
                <c:pt idx="2">
                  <c:v>33.532284000000004</c:v>
                </c:pt>
                <c:pt idx="3">
                  <c:v>23.801534</c:v>
                </c:pt>
                <c:pt idx="4">
                  <c:v>23.783459000000001</c:v>
                </c:pt>
                <c:pt idx="5">
                  <c:v>23.913171999999999</c:v>
                </c:pt>
                <c:pt idx="6">
                  <c:v>6.7147880000000004</c:v>
                </c:pt>
                <c:pt idx="7">
                  <c:v>6.6583789999999992</c:v>
                </c:pt>
                <c:pt idx="8">
                  <c:v>6.2463749999999996</c:v>
                </c:pt>
                <c:pt idx="9">
                  <c:v>33.871450000000003</c:v>
                </c:pt>
                <c:pt idx="10">
                  <c:v>34.048813000000003</c:v>
                </c:pt>
                <c:pt idx="11">
                  <c:v>34.049087999999998</c:v>
                </c:pt>
                <c:pt idx="12">
                  <c:v>29.398953000000002</c:v>
                </c:pt>
                <c:pt idx="13">
                  <c:v>28.978881000000001</c:v>
                </c:pt>
                <c:pt idx="14">
                  <c:v>29.160163000000001</c:v>
                </c:pt>
                <c:pt idx="15">
                  <c:v>26.027298000000002</c:v>
                </c:pt>
                <c:pt idx="16">
                  <c:v>26.136148000000002</c:v>
                </c:pt>
                <c:pt idx="17">
                  <c:v>26.214475</c:v>
                </c:pt>
                <c:pt idx="18" formatCode="General">
                  <c:v>28.115093999999999</c:v>
                </c:pt>
                <c:pt idx="19" formatCode="General">
                  <c:v>27.968921999999996</c:v>
                </c:pt>
                <c:pt idx="20" formatCode="General">
                  <c:v>28.164571999999996</c:v>
                </c:pt>
                <c:pt idx="21" formatCode="General">
                  <c:v>33.935896999999997</c:v>
                </c:pt>
                <c:pt idx="22" formatCode="General">
                  <c:v>33.709881000000003</c:v>
                </c:pt>
                <c:pt idx="23" formatCode="General">
                  <c:v>33.881321999999997</c:v>
                </c:pt>
              </c:numCache>
            </c:numRef>
          </c:yVal>
          <c:smooth val="0"/>
          <c:extLst>
            <c:ext xmlns:c16="http://schemas.microsoft.com/office/drawing/2014/chart" uri="{C3380CC4-5D6E-409C-BE32-E72D297353CC}">
              <c16:uniqueId val="{00000002-2679-2043-B983-895548D69F47}"/>
            </c:ext>
          </c:extLst>
        </c:ser>
        <c:ser>
          <c:idx val="1"/>
          <c:order val="2"/>
          <c:tx>
            <c:v>AGV-2</c:v>
          </c:tx>
          <c:spPr>
            <a:ln w="25400" cap="rnd">
              <a:noFill/>
              <a:round/>
            </a:ln>
            <a:effectLst/>
          </c:spPr>
          <c:marker>
            <c:symbol val="circle"/>
            <c:size val="5"/>
            <c:spPr>
              <a:solidFill>
                <a:schemeClr val="accent2"/>
              </a:solidFill>
              <a:ln w="9525">
                <a:solidFill>
                  <a:schemeClr val="accent2"/>
                </a:solidFill>
              </a:ln>
              <a:effectLst/>
            </c:spPr>
          </c:marker>
          <c:xVal>
            <c:numRef>
              <c:f>('AGV-2'!$B$11,'AGV-2'!$B$11,'AGV-2'!$B$11)</c:f>
              <c:numCache>
                <c:formatCode>General</c:formatCode>
                <c:ptCount val="3"/>
                <c:pt idx="0">
                  <c:v>27.7</c:v>
                </c:pt>
                <c:pt idx="1">
                  <c:v>27.7</c:v>
                </c:pt>
                <c:pt idx="2">
                  <c:v>27.7</c:v>
                </c:pt>
              </c:numCache>
            </c:numRef>
          </c:xVal>
          <c:yVal>
            <c:numRef>
              <c:f>Standard_Testing_3242015!$CV$8:$CV$10</c:f>
              <c:numCache>
                <c:formatCode>0.00</c:formatCode>
                <c:ptCount val="3"/>
                <c:pt idx="0">
                  <c:v>29.398953000000002</c:v>
                </c:pt>
                <c:pt idx="1">
                  <c:v>28.978881000000001</c:v>
                </c:pt>
                <c:pt idx="2">
                  <c:v>29.160163000000001</c:v>
                </c:pt>
              </c:numCache>
            </c:numRef>
          </c:yVal>
          <c:smooth val="0"/>
          <c:extLst>
            <c:ext xmlns:c16="http://schemas.microsoft.com/office/drawing/2014/chart" uri="{C3380CC4-5D6E-409C-BE32-E72D297353CC}">
              <c16:uniqueId val="{00000003-2679-2043-B983-895548D69F47}"/>
            </c:ext>
          </c:extLst>
        </c:ser>
        <c:ser>
          <c:idx val="2"/>
          <c:order val="3"/>
          <c:tx>
            <c:v>GSP-2</c:v>
          </c:tx>
          <c:spPr>
            <a:ln w="25400" cap="rnd">
              <a:noFill/>
              <a:round/>
            </a:ln>
            <a:effectLst/>
          </c:spPr>
          <c:marker>
            <c:symbol val="circle"/>
            <c:size val="5"/>
            <c:spPr>
              <a:solidFill>
                <a:schemeClr val="accent3"/>
              </a:solidFill>
              <a:ln w="9525">
                <a:solidFill>
                  <a:schemeClr val="accent3"/>
                </a:solidFill>
              </a:ln>
              <a:effectLst/>
            </c:spPr>
          </c:marker>
          <c:xVal>
            <c:numRef>
              <c:f>('GSP-2'!$B$11,'GSP-2'!$B$11,'GSP-2'!$B$11)</c:f>
              <c:numCache>
                <c:formatCode>General</c:formatCode>
                <c:ptCount val="3"/>
                <c:pt idx="0">
                  <c:v>31.1</c:v>
                </c:pt>
                <c:pt idx="1">
                  <c:v>31.1</c:v>
                </c:pt>
                <c:pt idx="2">
                  <c:v>31.1</c:v>
                </c:pt>
              </c:numCache>
            </c:numRef>
          </c:xVal>
          <c:yVal>
            <c:numRef>
              <c:f>Standard_Testing_3242015!$CV$5:$CV$7</c:f>
              <c:numCache>
                <c:formatCode>0.00</c:formatCode>
                <c:ptCount val="3"/>
                <c:pt idx="0">
                  <c:v>33.871450000000003</c:v>
                </c:pt>
                <c:pt idx="1">
                  <c:v>34.048813000000003</c:v>
                </c:pt>
                <c:pt idx="2">
                  <c:v>34.049087999999998</c:v>
                </c:pt>
              </c:numCache>
            </c:numRef>
          </c:yVal>
          <c:smooth val="0"/>
          <c:extLst>
            <c:ext xmlns:c16="http://schemas.microsoft.com/office/drawing/2014/chart" uri="{C3380CC4-5D6E-409C-BE32-E72D297353CC}">
              <c16:uniqueId val="{00000004-2679-2043-B983-895548D69F47}"/>
            </c:ext>
          </c:extLst>
        </c:ser>
        <c:ser>
          <c:idx val="4"/>
          <c:order val="4"/>
          <c:tx>
            <c:v>SBC-1</c:v>
          </c:tx>
          <c:spPr>
            <a:ln w="25400" cap="rnd">
              <a:noFill/>
              <a:round/>
            </a:ln>
            <a:effectLst/>
          </c:spPr>
          <c:marker>
            <c:symbol val="circle"/>
            <c:size val="5"/>
            <c:spPr>
              <a:solidFill>
                <a:schemeClr val="accent5"/>
              </a:solidFill>
              <a:ln w="9525">
                <a:solidFill>
                  <a:schemeClr val="accent5"/>
                </a:solidFill>
              </a:ln>
              <a:effectLst/>
            </c:spPr>
          </c:marker>
          <c:xVal>
            <c:numRef>
              <c:f>('SBC-1'!$D$2,'SBC-1'!$D$2,'SBC-1'!$D$2)</c:f>
              <c:numCache>
                <c:formatCode>General</c:formatCode>
                <c:ptCount val="3"/>
                <c:pt idx="0">
                  <c:v>22.266936000000001</c:v>
                </c:pt>
                <c:pt idx="1">
                  <c:v>22.266936000000001</c:v>
                </c:pt>
                <c:pt idx="2">
                  <c:v>22.266936000000001</c:v>
                </c:pt>
              </c:numCache>
            </c:numRef>
          </c:xVal>
          <c:yVal>
            <c:numRef>
              <c:f>Standard_Testing_3242015!$CV$14:$CV$16</c:f>
              <c:numCache>
                <c:formatCode>0.00</c:formatCode>
                <c:ptCount val="3"/>
                <c:pt idx="0">
                  <c:v>23.801534</c:v>
                </c:pt>
                <c:pt idx="1">
                  <c:v>23.783459000000001</c:v>
                </c:pt>
                <c:pt idx="2">
                  <c:v>23.913171999999999</c:v>
                </c:pt>
              </c:numCache>
            </c:numRef>
          </c:yVal>
          <c:smooth val="0"/>
          <c:extLst>
            <c:ext xmlns:c16="http://schemas.microsoft.com/office/drawing/2014/chart" uri="{C3380CC4-5D6E-409C-BE32-E72D297353CC}">
              <c16:uniqueId val="{00000005-2679-2043-B983-895548D69F47}"/>
            </c:ext>
          </c:extLst>
        </c:ser>
        <c:ser>
          <c:idx val="5"/>
          <c:order val="5"/>
          <c:tx>
            <c:v>SDC-1</c:v>
          </c:tx>
          <c:spPr>
            <a:ln w="25400" cap="rnd">
              <a:noFill/>
              <a:round/>
            </a:ln>
            <a:effectLst/>
          </c:spPr>
          <c:marker>
            <c:symbol val="circle"/>
            <c:size val="5"/>
            <c:spPr>
              <a:solidFill>
                <a:schemeClr val="accent6"/>
              </a:solidFill>
              <a:ln w="9525">
                <a:solidFill>
                  <a:schemeClr val="accent6"/>
                </a:solidFill>
              </a:ln>
              <a:effectLst/>
            </c:spPr>
          </c:marker>
          <c:xVal>
            <c:numRef>
              <c:f>('SDC-1'!$E$4,'SDC-1'!$E$4,'SDC-1'!$E$4)</c:f>
              <c:numCache>
                <c:formatCode>General</c:formatCode>
                <c:ptCount val="3"/>
                <c:pt idx="0">
                  <c:v>30.754919999999998</c:v>
                </c:pt>
                <c:pt idx="1">
                  <c:v>30.754919999999998</c:v>
                </c:pt>
                <c:pt idx="2">
                  <c:v>30.754919999999998</c:v>
                </c:pt>
              </c:numCache>
            </c:numRef>
          </c:xVal>
          <c:yVal>
            <c:numRef>
              <c:f>Standard_Testing_3242015!$CV$17:$CV$19</c:f>
              <c:numCache>
                <c:formatCode>0.00</c:formatCode>
                <c:ptCount val="3"/>
                <c:pt idx="0">
                  <c:v>33.058512999999998</c:v>
                </c:pt>
                <c:pt idx="1">
                  <c:v>33.303628000000003</c:v>
                </c:pt>
                <c:pt idx="2">
                  <c:v>33.532284000000004</c:v>
                </c:pt>
              </c:numCache>
            </c:numRef>
          </c:yVal>
          <c:smooth val="0"/>
          <c:extLst>
            <c:ext xmlns:c16="http://schemas.microsoft.com/office/drawing/2014/chart" uri="{C3380CC4-5D6E-409C-BE32-E72D297353CC}">
              <c16:uniqueId val="{00000006-2679-2043-B983-895548D69F47}"/>
            </c:ext>
          </c:extLst>
        </c:ser>
        <c:ser>
          <c:idx val="3"/>
          <c:order val="6"/>
          <c:tx>
            <c:v>NOD-P-1</c:v>
          </c:tx>
          <c:spPr>
            <a:ln w="25400" cap="rnd">
              <a:noFill/>
              <a:round/>
            </a:ln>
            <a:effectLst/>
          </c:spPr>
          <c:marker>
            <c:symbol val="circle"/>
            <c:size val="5"/>
            <c:spPr>
              <a:solidFill>
                <a:schemeClr val="accent4"/>
              </a:solidFill>
              <a:ln w="9525">
                <a:solidFill>
                  <a:schemeClr val="accent4"/>
                </a:solidFill>
              </a:ln>
              <a:effectLst/>
            </c:spPr>
          </c:marker>
          <c:xVal>
            <c:numRef>
              <c:f>('NOD-P-1'!$D$4,'NOD-P-1'!$D$4,'NOD-P-1'!$D$4)</c:f>
              <c:numCache>
                <c:formatCode>General</c:formatCode>
                <c:ptCount val="3"/>
                <c:pt idx="0">
                  <c:v>6.4968599999999999</c:v>
                </c:pt>
                <c:pt idx="1">
                  <c:v>6.4968599999999999</c:v>
                </c:pt>
                <c:pt idx="2">
                  <c:v>6.4968599999999999</c:v>
                </c:pt>
              </c:numCache>
            </c:numRef>
          </c:xVal>
          <c:yVal>
            <c:numRef>
              <c:f>Standard_Testing_3242015!$CV$11:$CV$13</c:f>
              <c:numCache>
                <c:formatCode>0.00</c:formatCode>
                <c:ptCount val="3"/>
                <c:pt idx="0">
                  <c:v>6.7147880000000004</c:v>
                </c:pt>
                <c:pt idx="1">
                  <c:v>6.6583789999999992</c:v>
                </c:pt>
                <c:pt idx="2">
                  <c:v>6.2463749999999996</c:v>
                </c:pt>
              </c:numCache>
            </c:numRef>
          </c:yVal>
          <c:smooth val="0"/>
          <c:extLst>
            <c:ext xmlns:c16="http://schemas.microsoft.com/office/drawing/2014/chart" uri="{C3380CC4-5D6E-409C-BE32-E72D297353CC}">
              <c16:uniqueId val="{00000007-2679-2043-B983-895548D69F47}"/>
            </c:ext>
          </c:extLst>
        </c:ser>
        <c:dLbls>
          <c:showLegendKey val="0"/>
          <c:showVal val="0"/>
          <c:showCatName val="0"/>
          <c:showSerName val="0"/>
          <c:showPercent val="0"/>
          <c:showBubbleSize val="0"/>
        </c:dLbls>
        <c:axId val="230174048"/>
        <c:axId val="230174440"/>
      </c:scatterChart>
      <c:valAx>
        <c:axId val="23017404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Standard Value (wt.%)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0174440"/>
        <c:crosses val="autoZero"/>
        <c:crossBetween val="midCat"/>
      </c:valAx>
      <c:valAx>
        <c:axId val="2301744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pXRF Reading (wt%)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0174048"/>
        <c:crosses val="autoZero"/>
        <c:crossBetween val="midCat"/>
      </c:valAx>
      <c:spPr>
        <a:noFill/>
        <a:ln>
          <a:noFill/>
        </a:ln>
        <a:effectLst/>
      </c:spPr>
    </c:plotArea>
    <c:legend>
      <c:legendPos val="r"/>
      <c:layout>
        <c:manualLayout>
          <c:xMode val="edge"/>
          <c:yMode val="edge"/>
          <c:x val="0.15372032822820222"/>
          <c:y val="7.7022443169180124E-2"/>
          <c:w val="0.23422673127397536"/>
          <c:h val="0.47669825170158819"/>
        </c:manualLayout>
      </c:layout>
      <c:overlay val="0"/>
      <c:spPr>
        <a:solidFill>
          <a:schemeClr val="bg1"/>
        </a:solidFill>
        <a:ln>
          <a:solidFill>
            <a:schemeClr val="bg1">
              <a:lumMod val="75000"/>
            </a:schemeClr>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Sulfur</a:t>
            </a:r>
          </a:p>
        </c:rich>
      </c:tx>
      <c:layout>
        <c:manualLayout>
          <c:xMode val="edge"/>
          <c:yMode val="edge"/>
          <c:x val="0.48100952525165125"/>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414752242508148"/>
          <c:y val="7.4878873415864258E-2"/>
          <c:w val="0.83808622479882322"/>
          <c:h val="0.80369817385114994"/>
        </c:manualLayout>
      </c:layout>
      <c:scatterChart>
        <c:scatterStyle val="lineMarker"/>
        <c:varyColors val="0"/>
        <c:ser>
          <c:idx val="6"/>
          <c:order val="0"/>
          <c:tx>
            <c:v>Trendline</c:v>
          </c:tx>
          <c:spPr>
            <a:ln w="25400" cap="rnd">
              <a:noFill/>
              <a:round/>
            </a:ln>
            <a:effectLst/>
          </c:spPr>
          <c:marker>
            <c:symbol val="circle"/>
            <c:size val="5"/>
            <c:spPr>
              <a:solidFill>
                <a:schemeClr val="accent1">
                  <a:lumMod val="60000"/>
                </a:schemeClr>
              </a:solidFill>
              <a:ln w="9525">
                <a:solidFill>
                  <a:schemeClr val="accent1">
                    <a:lumMod val="60000"/>
                  </a:schemeClr>
                </a:solidFill>
              </a:ln>
              <a:effectLst/>
            </c:spPr>
          </c:marker>
          <c:trendline>
            <c:spPr>
              <a:ln w="19050" cap="rnd">
                <a:solidFill>
                  <a:schemeClr val="accent1">
                    <a:lumMod val="60000"/>
                  </a:schemeClr>
                </a:solidFill>
                <a:prstDash val="sysDot"/>
              </a:ln>
              <a:effectLst/>
            </c:spPr>
            <c:trendlineType val="linear"/>
            <c:dispRSqr val="1"/>
            <c:dispEq val="1"/>
            <c:trendlineLbl>
              <c:layout>
                <c:manualLayout>
                  <c:x val="-2.2944968417409364E-2"/>
                  <c:y val="-2.6450798523065987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Sulfur!$E$4:$E$21</c:f>
              <c:numCache>
                <c:formatCode>General</c:formatCode>
                <c:ptCount val="18"/>
                <c:pt idx="0">
                  <c:v>0</c:v>
                </c:pt>
                <c:pt idx="1">
                  <c:v>0</c:v>
                </c:pt>
                <c:pt idx="2">
                  <c:v>0</c:v>
                </c:pt>
                <c:pt idx="3">
                  <c:v>0</c:v>
                </c:pt>
                <c:pt idx="4">
                  <c:v>0</c:v>
                </c:pt>
                <c:pt idx="5">
                  <c:v>0</c:v>
                </c:pt>
                <c:pt idx="6">
                  <c:v>0</c:v>
                </c:pt>
                <c:pt idx="7">
                  <c:v>0</c:v>
                </c:pt>
                <c:pt idx="8">
                  <c:v>0</c:v>
                </c:pt>
                <c:pt idx="9">
                  <c:v>0</c:v>
                </c:pt>
                <c:pt idx="10">
                  <c:v>0</c:v>
                </c:pt>
                <c:pt idx="11">
                  <c:v>0</c:v>
                </c:pt>
                <c:pt idx="12">
                  <c:v>0.71499999999999997</c:v>
                </c:pt>
                <c:pt idx="13">
                  <c:v>0.71499999999999997</c:v>
                </c:pt>
                <c:pt idx="14">
                  <c:v>0.71499999999999997</c:v>
                </c:pt>
                <c:pt idx="15">
                  <c:v>0</c:v>
                </c:pt>
                <c:pt idx="16">
                  <c:v>0</c:v>
                </c:pt>
                <c:pt idx="17">
                  <c:v>0</c:v>
                </c:pt>
              </c:numCache>
            </c:numRef>
          </c:xVal>
          <c:yVal>
            <c:numRef>
              <c:f>Sulfur!$I$4:$I$21</c:f>
              <c:numCache>
                <c:formatCode>0.000</c:formatCode>
                <c:ptCount val="18"/>
                <c:pt idx="0">
                  <c:v>6.7201999999999998E-2</c:v>
                </c:pt>
                <c:pt idx="1">
                  <c:v>0</c:v>
                </c:pt>
                <c:pt idx="2">
                  <c:v>0</c:v>
                </c:pt>
                <c:pt idx="3">
                  <c:v>4.5357999999999996E-2</c:v>
                </c:pt>
                <c:pt idx="4">
                  <c:v>4.3305000000000003E-2</c:v>
                </c:pt>
                <c:pt idx="5">
                  <c:v>4.1714000000000001E-2</c:v>
                </c:pt>
                <c:pt idx="6">
                  <c:v>0</c:v>
                </c:pt>
                <c:pt idx="7">
                  <c:v>0</c:v>
                </c:pt>
                <c:pt idx="8">
                  <c:v>0</c:v>
                </c:pt>
                <c:pt idx="9">
                  <c:v>0.17014799999999999</c:v>
                </c:pt>
                <c:pt idx="10">
                  <c:v>0.17783800000000002</c:v>
                </c:pt>
                <c:pt idx="11">
                  <c:v>0.16444400000000001</c:v>
                </c:pt>
                <c:pt idx="12">
                  <c:v>0.56085600000000002</c:v>
                </c:pt>
                <c:pt idx="13">
                  <c:v>0.56745500000000004</c:v>
                </c:pt>
                <c:pt idx="14">
                  <c:v>0.56023199999999995</c:v>
                </c:pt>
                <c:pt idx="15">
                  <c:v>3.6361000000000004E-2</c:v>
                </c:pt>
                <c:pt idx="16">
                  <c:v>5.9333000000000004E-2</c:v>
                </c:pt>
                <c:pt idx="17">
                  <c:v>0</c:v>
                </c:pt>
              </c:numCache>
            </c:numRef>
          </c:yVal>
          <c:smooth val="0"/>
          <c:extLst>
            <c:ext xmlns:c16="http://schemas.microsoft.com/office/drawing/2014/chart" uri="{C3380CC4-5D6E-409C-BE32-E72D297353CC}">
              <c16:uniqueId val="{00000001-4D0C-5645-A002-3A0CE7199EF1}"/>
            </c:ext>
          </c:extLst>
        </c:ser>
        <c:dLbls>
          <c:showLegendKey val="0"/>
          <c:showVal val="0"/>
          <c:showCatName val="0"/>
          <c:showSerName val="0"/>
          <c:showPercent val="0"/>
          <c:showBubbleSize val="0"/>
        </c:dLbls>
        <c:axId val="209816032"/>
        <c:axId val="209819560"/>
      </c:scatterChart>
      <c:valAx>
        <c:axId val="20981603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Standard Value (wt.%)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819560"/>
        <c:crosses val="autoZero"/>
        <c:crossBetween val="midCat"/>
      </c:valAx>
      <c:valAx>
        <c:axId val="2098195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pXRF Reading (wt%)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81603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Lead</a:t>
            </a:r>
          </a:p>
        </c:rich>
      </c:tx>
      <c:layout>
        <c:manualLayout>
          <c:xMode val="edge"/>
          <c:yMode val="edge"/>
          <c:x val="0.48100952525165125"/>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414752242508148"/>
          <c:y val="7.4878873415864258E-2"/>
          <c:w val="0.83808622479882322"/>
          <c:h val="0.80369817385114994"/>
        </c:manualLayout>
      </c:layout>
      <c:scatterChart>
        <c:scatterStyle val="lineMarker"/>
        <c:varyColors val="0"/>
        <c:ser>
          <c:idx val="6"/>
          <c:order val="0"/>
          <c:tx>
            <c:v>Trendline</c:v>
          </c:tx>
          <c:spPr>
            <a:ln w="25400" cap="rnd">
              <a:noFill/>
              <a:round/>
            </a:ln>
            <a:effectLst/>
          </c:spPr>
          <c:marker>
            <c:symbol val="circle"/>
            <c:size val="5"/>
            <c:spPr>
              <a:solidFill>
                <a:schemeClr val="accent1">
                  <a:lumMod val="60000"/>
                </a:schemeClr>
              </a:solidFill>
              <a:ln w="9525">
                <a:solidFill>
                  <a:schemeClr val="accent1">
                    <a:lumMod val="60000"/>
                  </a:schemeClr>
                </a:solidFill>
              </a:ln>
              <a:effectLst/>
            </c:spPr>
          </c:marker>
          <c:trendline>
            <c:spPr>
              <a:ln w="19050" cap="rnd">
                <a:solidFill>
                  <a:schemeClr val="accent1">
                    <a:lumMod val="60000"/>
                  </a:schemeClr>
                </a:solidFill>
                <a:prstDash val="sysDot"/>
              </a:ln>
              <a:effectLst/>
            </c:spPr>
            <c:trendlineType val="linear"/>
            <c:dispRSqr val="1"/>
            <c:dispEq val="1"/>
            <c:trendlineLbl>
              <c:layout>
                <c:manualLayout>
                  <c:x val="-2.2944968417409364E-2"/>
                  <c:y val="-2.6450798523065987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Lead!$E$4:$E$30</c:f>
              <c:numCache>
                <c:formatCode>General</c:formatCode>
                <c:ptCount val="27"/>
                <c:pt idx="0">
                  <c:v>1.1000000000000001E-3</c:v>
                </c:pt>
                <c:pt idx="1">
                  <c:v>1.1000000000000001E-3</c:v>
                </c:pt>
                <c:pt idx="2">
                  <c:v>1.1000000000000001E-3</c:v>
                </c:pt>
                <c:pt idx="3">
                  <c:v>4.1999999999999997E-3</c:v>
                </c:pt>
                <c:pt idx="4">
                  <c:v>4.1999999999999997E-3</c:v>
                </c:pt>
                <c:pt idx="5">
                  <c:v>4.1999999999999997E-3</c:v>
                </c:pt>
                <c:pt idx="6">
                  <c:v>1.2999999999999999E-3</c:v>
                </c:pt>
                <c:pt idx="7">
                  <c:v>1.2999999999999999E-3</c:v>
                </c:pt>
                <c:pt idx="8">
                  <c:v>1.2999999999999999E-3</c:v>
                </c:pt>
                <c:pt idx="9">
                  <c:v>5.6000000000000001E-2</c:v>
                </c:pt>
                <c:pt idx="10">
                  <c:v>5.6000000000000001E-2</c:v>
                </c:pt>
                <c:pt idx="11">
                  <c:v>5.6000000000000001E-2</c:v>
                </c:pt>
                <c:pt idx="12">
                  <c:v>3.5000000000000001E-3</c:v>
                </c:pt>
                <c:pt idx="13">
                  <c:v>3.5000000000000001E-3</c:v>
                </c:pt>
                <c:pt idx="14">
                  <c:v>3.5000000000000001E-3</c:v>
                </c:pt>
                <c:pt idx="15">
                  <c:v>2.5000000000000001E-3</c:v>
                </c:pt>
                <c:pt idx="16">
                  <c:v>2.5000000000000001E-3</c:v>
                </c:pt>
                <c:pt idx="17">
                  <c:v>2.5000000000000001E-3</c:v>
                </c:pt>
                <c:pt idx="18">
                  <c:v>9.8199999999999996E-2</c:v>
                </c:pt>
                <c:pt idx="19">
                  <c:v>9.8199999999999996E-2</c:v>
                </c:pt>
                <c:pt idx="20">
                  <c:v>9.8199999999999996E-2</c:v>
                </c:pt>
                <c:pt idx="21">
                  <c:v>5.0000000000000001E-3</c:v>
                </c:pt>
                <c:pt idx="22">
                  <c:v>5.0000000000000001E-3</c:v>
                </c:pt>
                <c:pt idx="23">
                  <c:v>5.0000000000000001E-3</c:v>
                </c:pt>
                <c:pt idx="24">
                  <c:v>1.73E-3</c:v>
                </c:pt>
                <c:pt idx="25">
                  <c:v>1.73E-3</c:v>
                </c:pt>
                <c:pt idx="26">
                  <c:v>1.73E-3</c:v>
                </c:pt>
              </c:numCache>
            </c:numRef>
          </c:xVal>
          <c:yVal>
            <c:numRef>
              <c:f>Lead!$I$4:$I$30</c:f>
              <c:numCache>
                <c:formatCode>0.000</c:formatCode>
                <c:ptCount val="27"/>
                <c:pt idx="0">
                  <c:v>1.552E-3</c:v>
                </c:pt>
                <c:pt idx="1">
                  <c:v>1.4529999999999999E-3</c:v>
                </c:pt>
                <c:pt idx="2">
                  <c:v>1.0140000000000001E-3</c:v>
                </c:pt>
                <c:pt idx="3">
                  <c:v>4.1200000000000004E-3</c:v>
                </c:pt>
                <c:pt idx="4">
                  <c:v>4.2259999999999997E-3</c:v>
                </c:pt>
                <c:pt idx="5">
                  <c:v>3.3939999999999999E-3</c:v>
                </c:pt>
                <c:pt idx="6">
                  <c:v>1.6170000000000002E-3</c:v>
                </c:pt>
                <c:pt idx="7">
                  <c:v>1.4119999999999998E-3</c:v>
                </c:pt>
                <c:pt idx="8">
                  <c:v>1.147E-3</c:v>
                </c:pt>
                <c:pt idx="9">
                  <c:v>4.2904000000000005E-2</c:v>
                </c:pt>
                <c:pt idx="10">
                  <c:v>4.2539E-2</c:v>
                </c:pt>
                <c:pt idx="11">
                  <c:v>3.7065000000000001E-2</c:v>
                </c:pt>
                <c:pt idx="12">
                  <c:v>3.3229999999999996E-3</c:v>
                </c:pt>
                <c:pt idx="13">
                  <c:v>3.81E-3</c:v>
                </c:pt>
                <c:pt idx="14">
                  <c:v>3.7390000000000001E-3</c:v>
                </c:pt>
                <c:pt idx="15">
                  <c:v>2.4190000000000001E-3</c:v>
                </c:pt>
                <c:pt idx="16">
                  <c:v>2.5239999999999998E-3</c:v>
                </c:pt>
                <c:pt idx="17">
                  <c:v>1.954E-3</c:v>
                </c:pt>
                <c:pt idx="18">
                  <c:v>0.117815</c:v>
                </c:pt>
                <c:pt idx="19">
                  <c:v>0.11412</c:v>
                </c:pt>
                <c:pt idx="20">
                  <c:v>0.10921400000000001</c:v>
                </c:pt>
                <c:pt idx="21">
                  <c:v>4.8990000000000006E-3</c:v>
                </c:pt>
                <c:pt idx="22">
                  <c:v>4.5669999999999999E-3</c:v>
                </c:pt>
                <c:pt idx="23">
                  <c:v>5.3020000000000003E-3</c:v>
                </c:pt>
                <c:pt idx="24">
                  <c:v>1.3109999999999999E-3</c:v>
                </c:pt>
                <c:pt idx="25">
                  <c:v>1.7879999999999999E-3</c:v>
                </c:pt>
                <c:pt idx="26">
                  <c:v>1.4339999999999999E-3</c:v>
                </c:pt>
              </c:numCache>
            </c:numRef>
          </c:yVal>
          <c:smooth val="0"/>
          <c:extLst>
            <c:ext xmlns:c16="http://schemas.microsoft.com/office/drawing/2014/chart" uri="{C3380CC4-5D6E-409C-BE32-E72D297353CC}">
              <c16:uniqueId val="{00000001-2DF8-6548-B508-58AE815D77A3}"/>
            </c:ext>
          </c:extLst>
        </c:ser>
        <c:dLbls>
          <c:showLegendKey val="0"/>
          <c:showVal val="0"/>
          <c:showCatName val="0"/>
          <c:showSerName val="0"/>
          <c:showPercent val="0"/>
          <c:showBubbleSize val="0"/>
        </c:dLbls>
        <c:axId val="230174832"/>
        <c:axId val="230175224"/>
      </c:scatterChart>
      <c:valAx>
        <c:axId val="23017483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Standard Value (wt.%)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0175224"/>
        <c:crosses val="autoZero"/>
        <c:crossBetween val="midCat"/>
      </c:valAx>
      <c:valAx>
        <c:axId val="2301752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pXRF Reading (wt%)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017483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Thorium</a:t>
            </a:r>
          </a:p>
        </c:rich>
      </c:tx>
      <c:layout>
        <c:manualLayout>
          <c:xMode val="edge"/>
          <c:yMode val="edge"/>
          <c:x val="0.48100952525165125"/>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414752242508148"/>
          <c:y val="7.4878873415864258E-2"/>
          <c:w val="0.83808622479882322"/>
          <c:h val="0.80369817385114994"/>
        </c:manualLayout>
      </c:layout>
      <c:scatterChart>
        <c:scatterStyle val="lineMarker"/>
        <c:varyColors val="0"/>
        <c:ser>
          <c:idx val="6"/>
          <c:order val="0"/>
          <c:tx>
            <c:v>Trendline</c:v>
          </c:tx>
          <c:spPr>
            <a:ln w="25400" cap="rnd">
              <a:noFill/>
              <a:round/>
            </a:ln>
            <a:effectLst/>
          </c:spPr>
          <c:marker>
            <c:symbol val="circle"/>
            <c:size val="5"/>
            <c:spPr>
              <a:solidFill>
                <a:schemeClr val="accent1">
                  <a:lumMod val="60000"/>
                </a:schemeClr>
              </a:solidFill>
              <a:ln w="9525">
                <a:solidFill>
                  <a:schemeClr val="accent1">
                    <a:lumMod val="60000"/>
                  </a:schemeClr>
                </a:solidFill>
              </a:ln>
              <a:effectLst/>
            </c:spPr>
          </c:marker>
          <c:trendline>
            <c:spPr>
              <a:ln w="19050" cap="rnd">
                <a:solidFill>
                  <a:schemeClr val="accent1">
                    <a:lumMod val="60000"/>
                  </a:schemeClr>
                </a:solidFill>
                <a:prstDash val="sysDot"/>
              </a:ln>
              <a:effectLst/>
            </c:spPr>
            <c:trendlineType val="linear"/>
            <c:dispRSqr val="1"/>
            <c:dispEq val="1"/>
            <c:trendlineLbl>
              <c:layout>
                <c:manualLayout>
                  <c:x val="-2.2944968417409364E-2"/>
                  <c:y val="-2.6450798523065987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Thorium!$E$4:$E$21</c:f>
              <c:numCache>
                <c:formatCode>General</c:formatCode>
                <c:ptCount val="18"/>
                <c:pt idx="3">
                  <c:v>1.0500000000000001E-2</c:v>
                </c:pt>
                <c:pt idx="4">
                  <c:v>1.0500000000000001E-2</c:v>
                </c:pt>
                <c:pt idx="5">
                  <c:v>1.0500000000000001E-2</c:v>
                </c:pt>
                <c:pt idx="12">
                  <c:v>1.58E-3</c:v>
                </c:pt>
                <c:pt idx="13">
                  <c:v>1.58E-3</c:v>
                </c:pt>
                <c:pt idx="14">
                  <c:v>1.58E-3</c:v>
                </c:pt>
                <c:pt idx="15">
                  <c:v>1.1999999999999999E-3</c:v>
                </c:pt>
                <c:pt idx="16">
                  <c:v>1.1999999999999999E-3</c:v>
                </c:pt>
                <c:pt idx="17">
                  <c:v>1.1999999999999999E-3</c:v>
                </c:pt>
              </c:numCache>
            </c:numRef>
          </c:xVal>
          <c:yVal>
            <c:numRef>
              <c:f>Thorium!$I$4:$I$21</c:f>
              <c:numCache>
                <c:formatCode>0.000</c:formatCode>
                <c:ptCount val="18"/>
                <c:pt idx="3" formatCode="0.00000">
                  <c:v>1.0496E-2</c:v>
                </c:pt>
                <c:pt idx="4" formatCode="0.00000">
                  <c:v>1.1064000000000001E-2</c:v>
                </c:pt>
                <c:pt idx="5" formatCode="0.00000">
                  <c:v>1.1766E-2</c:v>
                </c:pt>
                <c:pt idx="12" formatCode="0.00000">
                  <c:v>1.075E-3</c:v>
                </c:pt>
                <c:pt idx="13" formatCode="0.00000">
                  <c:v>1.0920000000000001E-3</c:v>
                </c:pt>
                <c:pt idx="14" formatCode="0.00000">
                  <c:v>1.0789999999999999E-3</c:v>
                </c:pt>
                <c:pt idx="15" formatCode="0.00000">
                  <c:v>9.3100000000000008E-4</c:v>
                </c:pt>
                <c:pt idx="16" formatCode="0.00000">
                  <c:v>1.2210000000000001E-3</c:v>
                </c:pt>
                <c:pt idx="17" formatCode="0.00000">
                  <c:v>8.470000000000001E-4</c:v>
                </c:pt>
              </c:numCache>
            </c:numRef>
          </c:yVal>
          <c:smooth val="0"/>
          <c:extLst>
            <c:ext xmlns:c16="http://schemas.microsoft.com/office/drawing/2014/chart" uri="{C3380CC4-5D6E-409C-BE32-E72D297353CC}">
              <c16:uniqueId val="{00000001-B983-5347-8EEF-32C510834F41}"/>
            </c:ext>
          </c:extLst>
        </c:ser>
        <c:dLbls>
          <c:showLegendKey val="0"/>
          <c:showVal val="0"/>
          <c:showCatName val="0"/>
          <c:showSerName val="0"/>
          <c:showPercent val="0"/>
          <c:showBubbleSize val="0"/>
        </c:dLbls>
        <c:axId val="230176008"/>
        <c:axId val="230176400"/>
      </c:scatterChart>
      <c:valAx>
        <c:axId val="23017600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Standard Value (wt.%)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0176400"/>
        <c:crosses val="autoZero"/>
        <c:crossBetween val="midCat"/>
      </c:valAx>
      <c:valAx>
        <c:axId val="2301764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pXRF Reading (wt%)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0176008"/>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Titanium</a:t>
            </a:r>
          </a:p>
        </c:rich>
      </c:tx>
      <c:layout>
        <c:manualLayout>
          <c:xMode val="edge"/>
          <c:yMode val="edge"/>
          <c:x val="0.48100952525165125"/>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414752242508148"/>
          <c:y val="7.4878873415864258E-2"/>
          <c:w val="0.83808622479882322"/>
          <c:h val="0.80369817385114994"/>
        </c:manualLayout>
      </c:layout>
      <c:scatterChart>
        <c:scatterStyle val="lineMarker"/>
        <c:varyColors val="0"/>
        <c:ser>
          <c:idx val="6"/>
          <c:order val="0"/>
          <c:tx>
            <c:v>Trendline</c:v>
          </c:tx>
          <c:spPr>
            <a:ln w="25400" cap="rnd">
              <a:noFill/>
              <a:round/>
            </a:ln>
            <a:effectLst/>
          </c:spPr>
          <c:marker>
            <c:symbol val="circle"/>
            <c:size val="5"/>
            <c:spPr>
              <a:solidFill>
                <a:schemeClr val="accent1">
                  <a:lumMod val="60000"/>
                </a:schemeClr>
              </a:solidFill>
              <a:ln w="9525">
                <a:solidFill>
                  <a:schemeClr val="accent1">
                    <a:lumMod val="60000"/>
                  </a:schemeClr>
                </a:solidFill>
              </a:ln>
              <a:effectLst/>
            </c:spPr>
          </c:marker>
          <c:trendline>
            <c:spPr>
              <a:ln w="19050" cap="rnd">
                <a:solidFill>
                  <a:schemeClr val="accent1">
                    <a:lumMod val="60000"/>
                  </a:schemeClr>
                </a:solidFill>
                <a:prstDash val="sysDot"/>
              </a:ln>
              <a:effectLst/>
            </c:spPr>
            <c:trendlineType val="linear"/>
            <c:dispRSqr val="1"/>
            <c:dispEq val="1"/>
            <c:trendlineLbl>
              <c:layout>
                <c:manualLayout>
                  <c:x val="-2.2944968417409364E-2"/>
                  <c:y val="-2.6450798523065987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Titanium!$E$4:$E$30</c:f>
              <c:numCache>
                <c:formatCode>General</c:formatCode>
                <c:ptCount val="27"/>
                <c:pt idx="0">
                  <c:v>0.6053940000000001</c:v>
                </c:pt>
                <c:pt idx="1">
                  <c:v>0.6053940000000001</c:v>
                </c:pt>
                <c:pt idx="2">
                  <c:v>0.6053940000000001</c:v>
                </c:pt>
                <c:pt idx="3">
                  <c:v>0.51248700000000003</c:v>
                </c:pt>
                <c:pt idx="4">
                  <c:v>0.51248700000000003</c:v>
                </c:pt>
                <c:pt idx="5">
                  <c:v>0.51248700000000003</c:v>
                </c:pt>
                <c:pt idx="6">
                  <c:v>0.29970000000000002</c:v>
                </c:pt>
                <c:pt idx="7">
                  <c:v>0.29970000000000002</c:v>
                </c:pt>
                <c:pt idx="8">
                  <c:v>0.29970000000000002</c:v>
                </c:pt>
                <c:pt idx="9">
                  <c:v>0.4</c:v>
                </c:pt>
                <c:pt idx="10">
                  <c:v>0.4</c:v>
                </c:pt>
                <c:pt idx="11">
                  <c:v>0.4</c:v>
                </c:pt>
                <c:pt idx="12">
                  <c:v>0.63</c:v>
                </c:pt>
                <c:pt idx="13">
                  <c:v>0.63</c:v>
                </c:pt>
                <c:pt idx="14">
                  <c:v>0.63</c:v>
                </c:pt>
                <c:pt idx="15">
                  <c:v>1.35</c:v>
                </c:pt>
                <c:pt idx="16">
                  <c:v>1.35</c:v>
                </c:pt>
                <c:pt idx="17">
                  <c:v>1.35</c:v>
                </c:pt>
                <c:pt idx="18">
                  <c:v>0.38</c:v>
                </c:pt>
                <c:pt idx="19">
                  <c:v>0.38</c:v>
                </c:pt>
                <c:pt idx="20">
                  <c:v>0.38</c:v>
                </c:pt>
                <c:pt idx="21">
                  <c:v>0.48399999999999999</c:v>
                </c:pt>
                <c:pt idx="22">
                  <c:v>0.48399999999999999</c:v>
                </c:pt>
                <c:pt idx="23">
                  <c:v>0.48399999999999999</c:v>
                </c:pt>
                <c:pt idx="24">
                  <c:v>0.33600000000000002</c:v>
                </c:pt>
                <c:pt idx="25">
                  <c:v>0.33600000000000002</c:v>
                </c:pt>
                <c:pt idx="26">
                  <c:v>0.33600000000000002</c:v>
                </c:pt>
              </c:numCache>
            </c:numRef>
          </c:xVal>
          <c:yVal>
            <c:numRef>
              <c:f>Titanium!$J$4:$J$30</c:f>
              <c:numCache>
                <c:formatCode>0.000</c:formatCode>
                <c:ptCount val="27"/>
                <c:pt idx="0">
                  <c:v>0.58369099999999996</c:v>
                </c:pt>
                <c:pt idx="1">
                  <c:v>0.56540900000000005</c:v>
                </c:pt>
                <c:pt idx="2">
                  <c:v>0.591642</c:v>
                </c:pt>
                <c:pt idx="3">
                  <c:v>0.57402700000000006</c:v>
                </c:pt>
                <c:pt idx="4">
                  <c:v>0.55831699999999995</c:v>
                </c:pt>
                <c:pt idx="5">
                  <c:v>0.56429399999999996</c:v>
                </c:pt>
                <c:pt idx="6">
                  <c:v>0.32589400000000002</c:v>
                </c:pt>
                <c:pt idx="7">
                  <c:v>0.35991699999999999</c:v>
                </c:pt>
                <c:pt idx="8">
                  <c:v>0.353412</c:v>
                </c:pt>
                <c:pt idx="9">
                  <c:v>0.35267100000000001</c:v>
                </c:pt>
                <c:pt idx="10">
                  <c:v>0.35056300000000001</c:v>
                </c:pt>
                <c:pt idx="11">
                  <c:v>0.35181899999999999</c:v>
                </c:pt>
                <c:pt idx="12">
                  <c:v>0.58364300000000002</c:v>
                </c:pt>
                <c:pt idx="13">
                  <c:v>0.57610899999999998</c:v>
                </c:pt>
                <c:pt idx="14">
                  <c:v>0.57751799999999998</c:v>
                </c:pt>
                <c:pt idx="15">
                  <c:v>1.2866440000000001</c:v>
                </c:pt>
                <c:pt idx="16">
                  <c:v>1.274877</c:v>
                </c:pt>
                <c:pt idx="17">
                  <c:v>1.2778909999999999</c:v>
                </c:pt>
                <c:pt idx="18">
                  <c:v>0.35543000000000002</c:v>
                </c:pt>
                <c:pt idx="19">
                  <c:v>0.35206199999999999</c:v>
                </c:pt>
                <c:pt idx="20">
                  <c:v>0.36807299999999998</c:v>
                </c:pt>
                <c:pt idx="21">
                  <c:v>0.49491899999999994</c:v>
                </c:pt>
                <c:pt idx="22">
                  <c:v>0.50908799999999998</c:v>
                </c:pt>
                <c:pt idx="23">
                  <c:v>0.49614399999999997</c:v>
                </c:pt>
                <c:pt idx="24">
                  <c:v>0.37466300000000002</c:v>
                </c:pt>
                <c:pt idx="25">
                  <c:v>0.36150300000000002</c:v>
                </c:pt>
                <c:pt idx="26">
                  <c:v>0.37255900000000003</c:v>
                </c:pt>
              </c:numCache>
            </c:numRef>
          </c:yVal>
          <c:smooth val="0"/>
          <c:extLst>
            <c:ext xmlns:c16="http://schemas.microsoft.com/office/drawing/2014/chart" uri="{C3380CC4-5D6E-409C-BE32-E72D297353CC}">
              <c16:uniqueId val="{00000001-3CDA-DB41-B7D0-683753A4BBDA}"/>
            </c:ext>
          </c:extLst>
        </c:ser>
        <c:ser>
          <c:idx val="0"/>
          <c:order val="1"/>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1"/>
            <c:dispEq val="1"/>
            <c:trendlineLbl>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Titanium!$F$4:$F$30</c:f>
              <c:numCache>
                <c:formatCode>General</c:formatCode>
                <c:ptCount val="27"/>
                <c:pt idx="0">
                  <c:v>6053.9400000000014</c:v>
                </c:pt>
                <c:pt idx="1">
                  <c:v>6053.9400000000014</c:v>
                </c:pt>
                <c:pt idx="2">
                  <c:v>6053.9400000000014</c:v>
                </c:pt>
                <c:pt idx="3">
                  <c:v>5124.87</c:v>
                </c:pt>
                <c:pt idx="4">
                  <c:v>5124.87</c:v>
                </c:pt>
                <c:pt idx="5">
                  <c:v>5124.87</c:v>
                </c:pt>
                <c:pt idx="6">
                  <c:v>2997</c:v>
                </c:pt>
                <c:pt idx="7">
                  <c:v>2997</c:v>
                </c:pt>
                <c:pt idx="8">
                  <c:v>2997</c:v>
                </c:pt>
                <c:pt idx="9">
                  <c:v>4000</c:v>
                </c:pt>
                <c:pt idx="10">
                  <c:v>4000</c:v>
                </c:pt>
                <c:pt idx="11">
                  <c:v>4000</c:v>
                </c:pt>
                <c:pt idx="12">
                  <c:v>6300</c:v>
                </c:pt>
                <c:pt idx="13">
                  <c:v>6300</c:v>
                </c:pt>
                <c:pt idx="14">
                  <c:v>6300</c:v>
                </c:pt>
                <c:pt idx="15">
                  <c:v>13500</c:v>
                </c:pt>
                <c:pt idx="16">
                  <c:v>13500</c:v>
                </c:pt>
                <c:pt idx="17">
                  <c:v>13500</c:v>
                </c:pt>
                <c:pt idx="18">
                  <c:v>3800</c:v>
                </c:pt>
                <c:pt idx="19">
                  <c:v>3800</c:v>
                </c:pt>
                <c:pt idx="20">
                  <c:v>3800</c:v>
                </c:pt>
                <c:pt idx="21">
                  <c:v>4840</c:v>
                </c:pt>
                <c:pt idx="22">
                  <c:v>4840</c:v>
                </c:pt>
                <c:pt idx="23">
                  <c:v>4840</c:v>
                </c:pt>
                <c:pt idx="24">
                  <c:v>3360</c:v>
                </c:pt>
                <c:pt idx="25">
                  <c:v>3360</c:v>
                </c:pt>
                <c:pt idx="26">
                  <c:v>3360</c:v>
                </c:pt>
              </c:numCache>
            </c:numRef>
          </c:xVal>
          <c:yVal>
            <c:numRef>
              <c:f>Titanium!$H$4:$H$30</c:f>
              <c:numCache>
                <c:formatCode>General</c:formatCode>
                <c:ptCount val="27"/>
                <c:pt idx="0">
                  <c:v>5836.91</c:v>
                </c:pt>
                <c:pt idx="1">
                  <c:v>5654.09</c:v>
                </c:pt>
                <c:pt idx="2">
                  <c:v>5916.42</c:v>
                </c:pt>
                <c:pt idx="3">
                  <c:v>5740.27</c:v>
                </c:pt>
                <c:pt idx="4">
                  <c:v>5583.17</c:v>
                </c:pt>
                <c:pt idx="5">
                  <c:v>5642.94</c:v>
                </c:pt>
                <c:pt idx="6">
                  <c:v>3258.94</c:v>
                </c:pt>
                <c:pt idx="7">
                  <c:v>3599.17</c:v>
                </c:pt>
                <c:pt idx="8">
                  <c:v>3534.12</c:v>
                </c:pt>
                <c:pt idx="9">
                  <c:v>3526.71</c:v>
                </c:pt>
                <c:pt idx="10">
                  <c:v>3505.63</c:v>
                </c:pt>
                <c:pt idx="11">
                  <c:v>3518.19</c:v>
                </c:pt>
                <c:pt idx="12">
                  <c:v>5836.43</c:v>
                </c:pt>
                <c:pt idx="13">
                  <c:v>5761.09</c:v>
                </c:pt>
                <c:pt idx="14">
                  <c:v>5775.18</c:v>
                </c:pt>
                <c:pt idx="15">
                  <c:v>12866.44</c:v>
                </c:pt>
                <c:pt idx="16">
                  <c:v>12748.77</c:v>
                </c:pt>
                <c:pt idx="17">
                  <c:v>12778.91</c:v>
                </c:pt>
                <c:pt idx="18">
                  <c:v>3554.3</c:v>
                </c:pt>
                <c:pt idx="19">
                  <c:v>3520.62</c:v>
                </c:pt>
                <c:pt idx="20">
                  <c:v>3680.73</c:v>
                </c:pt>
                <c:pt idx="21">
                  <c:v>4949.1899999999996</c:v>
                </c:pt>
                <c:pt idx="22">
                  <c:v>5090.88</c:v>
                </c:pt>
                <c:pt idx="23">
                  <c:v>4961.4399999999996</c:v>
                </c:pt>
                <c:pt idx="24">
                  <c:v>3746.63</c:v>
                </c:pt>
                <c:pt idx="25">
                  <c:v>3615.03</c:v>
                </c:pt>
                <c:pt idx="26">
                  <c:v>3725.59</c:v>
                </c:pt>
              </c:numCache>
            </c:numRef>
          </c:yVal>
          <c:smooth val="0"/>
          <c:extLst>
            <c:ext xmlns:c16="http://schemas.microsoft.com/office/drawing/2014/chart" uri="{C3380CC4-5D6E-409C-BE32-E72D297353CC}">
              <c16:uniqueId val="{00000003-3CDA-DB41-B7D0-683753A4BBDA}"/>
            </c:ext>
          </c:extLst>
        </c:ser>
        <c:dLbls>
          <c:showLegendKey val="0"/>
          <c:showVal val="0"/>
          <c:showCatName val="0"/>
          <c:showSerName val="0"/>
          <c:showPercent val="0"/>
          <c:showBubbleSize val="0"/>
        </c:dLbls>
        <c:axId val="230177184"/>
        <c:axId val="228707768"/>
      </c:scatterChart>
      <c:valAx>
        <c:axId val="23017718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Standard Value (wt.%)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8707768"/>
        <c:crosses val="autoZero"/>
        <c:crossBetween val="midCat"/>
      </c:valAx>
      <c:valAx>
        <c:axId val="2287077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pXRF Reading (wt%)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017718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Zirconium</a:t>
            </a:r>
          </a:p>
        </c:rich>
      </c:tx>
      <c:layout>
        <c:manualLayout>
          <c:xMode val="edge"/>
          <c:yMode val="edge"/>
          <c:x val="0.48100952525165125"/>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414752242508148"/>
          <c:y val="7.4878873415864258E-2"/>
          <c:w val="0.83808622479882322"/>
          <c:h val="0.80369817385114994"/>
        </c:manualLayout>
      </c:layout>
      <c:scatterChart>
        <c:scatterStyle val="lineMarker"/>
        <c:varyColors val="0"/>
        <c:ser>
          <c:idx val="6"/>
          <c:order val="0"/>
          <c:tx>
            <c:v>Trendline</c:v>
          </c:tx>
          <c:spPr>
            <a:ln w="25400" cap="rnd">
              <a:noFill/>
              <a:round/>
            </a:ln>
            <a:effectLst/>
          </c:spPr>
          <c:marker>
            <c:symbol val="circle"/>
            <c:size val="5"/>
            <c:spPr>
              <a:solidFill>
                <a:schemeClr val="accent1">
                  <a:lumMod val="60000"/>
                </a:schemeClr>
              </a:solidFill>
              <a:ln w="9525">
                <a:solidFill>
                  <a:schemeClr val="accent1">
                    <a:lumMod val="60000"/>
                  </a:schemeClr>
                </a:solidFill>
              </a:ln>
              <a:effectLst/>
            </c:spPr>
          </c:marker>
          <c:trendline>
            <c:spPr>
              <a:ln w="19050" cap="rnd">
                <a:solidFill>
                  <a:schemeClr val="accent1">
                    <a:lumMod val="60000"/>
                  </a:schemeClr>
                </a:solidFill>
                <a:prstDash val="sysDot"/>
              </a:ln>
              <a:effectLst/>
            </c:spPr>
            <c:trendlineType val="linear"/>
            <c:dispRSqr val="1"/>
            <c:dispEq val="1"/>
            <c:trendlineLbl>
              <c:layout>
                <c:manualLayout>
                  <c:x val="-2.2944968417409364E-2"/>
                  <c:y val="-2.6450798523065987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(Zirconium!$E$4:$E$9,Zirconium!$E$13:$E$21,Zirconium!$E$25:$E$30)</c:f>
              <c:numCache>
                <c:formatCode>General</c:formatCode>
                <c:ptCount val="21"/>
                <c:pt idx="0">
                  <c:v>2.9000000000000001E-2</c:v>
                </c:pt>
                <c:pt idx="1">
                  <c:v>2.9000000000000001E-2</c:v>
                </c:pt>
                <c:pt idx="2">
                  <c:v>2.9000000000000001E-2</c:v>
                </c:pt>
                <c:pt idx="3">
                  <c:v>1.34E-2</c:v>
                </c:pt>
                <c:pt idx="4">
                  <c:v>1.34E-2</c:v>
                </c:pt>
                <c:pt idx="5">
                  <c:v>1.34E-2</c:v>
                </c:pt>
                <c:pt idx="6">
                  <c:v>5.5E-2</c:v>
                </c:pt>
                <c:pt idx="7">
                  <c:v>5.5E-2</c:v>
                </c:pt>
                <c:pt idx="8">
                  <c:v>5.5E-2</c:v>
                </c:pt>
                <c:pt idx="9">
                  <c:v>2.3E-2</c:v>
                </c:pt>
                <c:pt idx="10">
                  <c:v>2.3E-2</c:v>
                </c:pt>
                <c:pt idx="11">
                  <c:v>2.3E-2</c:v>
                </c:pt>
                <c:pt idx="12">
                  <c:v>1.8800000000000001E-2</c:v>
                </c:pt>
                <c:pt idx="13">
                  <c:v>1.8800000000000001E-2</c:v>
                </c:pt>
                <c:pt idx="14">
                  <c:v>1.8800000000000001E-2</c:v>
                </c:pt>
                <c:pt idx="15">
                  <c:v>3.85E-2</c:v>
                </c:pt>
                <c:pt idx="16">
                  <c:v>3.85E-2</c:v>
                </c:pt>
                <c:pt idx="17">
                  <c:v>3.85E-2</c:v>
                </c:pt>
                <c:pt idx="18">
                  <c:v>1.95E-2</c:v>
                </c:pt>
                <c:pt idx="19">
                  <c:v>1.95E-2</c:v>
                </c:pt>
                <c:pt idx="20">
                  <c:v>1.95E-2</c:v>
                </c:pt>
              </c:numCache>
            </c:numRef>
          </c:xVal>
          <c:yVal>
            <c:numRef>
              <c:f>(Zirconium!$I$4:$I$9,Zirconium!$I$13:$I$21,Zirconium!$I$25:$I$30)</c:f>
              <c:numCache>
                <c:formatCode>General</c:formatCode>
                <c:ptCount val="21"/>
                <c:pt idx="0">
                  <c:v>3.8099000000000001E-2</c:v>
                </c:pt>
                <c:pt idx="1">
                  <c:v>3.7293E-2</c:v>
                </c:pt>
                <c:pt idx="2">
                  <c:v>3.8960000000000002E-2</c:v>
                </c:pt>
                <c:pt idx="3" formatCode="0.00000">
                  <c:v>1.1696999999999999E-2</c:v>
                </c:pt>
                <c:pt idx="4" formatCode="0.00000">
                  <c:v>1.1587999999999999E-2</c:v>
                </c:pt>
                <c:pt idx="5" formatCode="0.00000">
                  <c:v>1.1559999999999999E-2</c:v>
                </c:pt>
                <c:pt idx="6" formatCode="0.0000">
                  <c:v>6.9939000000000001E-2</c:v>
                </c:pt>
                <c:pt idx="7" formatCode="0.0000">
                  <c:v>6.9162000000000001E-2</c:v>
                </c:pt>
                <c:pt idx="8" formatCode="0.0000">
                  <c:v>6.9579000000000002E-2</c:v>
                </c:pt>
                <c:pt idx="9" formatCode="0.00">
                  <c:v>2.9488999999999998E-2</c:v>
                </c:pt>
                <c:pt idx="10" formatCode="0.00">
                  <c:v>2.9488E-2</c:v>
                </c:pt>
                <c:pt idx="11" formatCode="0.00">
                  <c:v>2.9314999999999997E-2</c:v>
                </c:pt>
                <c:pt idx="12" formatCode="0.00000">
                  <c:v>1.6371E-2</c:v>
                </c:pt>
                <c:pt idx="13" formatCode="0.00000">
                  <c:v>1.5712E-2</c:v>
                </c:pt>
                <c:pt idx="14" formatCode="0.00000">
                  <c:v>1.5678999999999998E-2</c:v>
                </c:pt>
                <c:pt idx="15">
                  <c:v>4.8502999999999998E-2</c:v>
                </c:pt>
                <c:pt idx="16">
                  <c:v>4.8807999999999997E-2</c:v>
                </c:pt>
                <c:pt idx="17">
                  <c:v>4.7127999999999996E-2</c:v>
                </c:pt>
                <c:pt idx="18">
                  <c:v>1.2374E-2</c:v>
                </c:pt>
                <c:pt idx="19">
                  <c:v>1.1506000000000001E-2</c:v>
                </c:pt>
                <c:pt idx="20">
                  <c:v>1.0398000000000001E-2</c:v>
                </c:pt>
              </c:numCache>
            </c:numRef>
          </c:yVal>
          <c:smooth val="0"/>
          <c:extLst>
            <c:ext xmlns:c16="http://schemas.microsoft.com/office/drawing/2014/chart" uri="{C3380CC4-5D6E-409C-BE32-E72D297353CC}">
              <c16:uniqueId val="{00000001-6FA2-AC4F-9C9A-7AC8F3E09CA0}"/>
            </c:ext>
          </c:extLst>
        </c:ser>
        <c:dLbls>
          <c:showLegendKey val="0"/>
          <c:showVal val="0"/>
          <c:showCatName val="0"/>
          <c:showSerName val="0"/>
          <c:showPercent val="0"/>
          <c:showBubbleSize val="0"/>
        </c:dLbls>
        <c:axId val="230857256"/>
        <c:axId val="230857648"/>
      </c:scatterChart>
      <c:valAx>
        <c:axId val="23085725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Standard Value (wt.%)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0857648"/>
        <c:crosses val="autoZero"/>
        <c:crossBetween val="midCat"/>
      </c:valAx>
      <c:valAx>
        <c:axId val="2308576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pXRF Reading (wt%)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0857256"/>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Scandium</a:t>
            </a:r>
          </a:p>
        </c:rich>
      </c:tx>
      <c:layout>
        <c:manualLayout>
          <c:xMode val="edge"/>
          <c:yMode val="edge"/>
          <c:x val="0.48100952525165125"/>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414752242508148"/>
          <c:y val="7.4878873415864258E-2"/>
          <c:w val="0.83808622479882322"/>
          <c:h val="0.80369817385114994"/>
        </c:manualLayout>
      </c:layout>
      <c:scatterChart>
        <c:scatterStyle val="lineMarker"/>
        <c:varyColors val="0"/>
        <c:ser>
          <c:idx val="6"/>
          <c:order val="0"/>
          <c:tx>
            <c:v>Trendline</c:v>
          </c:tx>
          <c:spPr>
            <a:ln w="25400" cap="rnd">
              <a:noFill/>
              <a:round/>
            </a:ln>
            <a:effectLst/>
          </c:spPr>
          <c:marker>
            <c:symbol val="circle"/>
            <c:size val="5"/>
            <c:spPr>
              <a:solidFill>
                <a:schemeClr val="accent1">
                  <a:lumMod val="60000"/>
                </a:schemeClr>
              </a:solidFill>
              <a:ln w="9525">
                <a:solidFill>
                  <a:schemeClr val="accent1">
                    <a:lumMod val="60000"/>
                  </a:schemeClr>
                </a:solidFill>
              </a:ln>
              <a:effectLst/>
            </c:spPr>
          </c:marker>
          <c:trendline>
            <c:spPr>
              <a:ln w="19050" cap="rnd">
                <a:solidFill>
                  <a:schemeClr val="accent1">
                    <a:lumMod val="60000"/>
                  </a:schemeClr>
                </a:solidFill>
                <a:prstDash val="sysDot"/>
              </a:ln>
              <a:effectLst/>
            </c:spPr>
            <c:trendlineType val="linear"/>
            <c:dispRSqr val="1"/>
            <c:dispEq val="1"/>
            <c:trendlineLbl>
              <c:layout>
                <c:manualLayout>
                  <c:x val="-2.2944968417409364E-2"/>
                  <c:y val="-2.6450798523065987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Scandium!$E$4:$E$21</c:f>
              <c:numCache>
                <c:formatCode>General</c:formatCode>
                <c:ptCount val="18"/>
              </c:numCache>
            </c:numRef>
          </c:xVal>
          <c:yVal>
            <c:numRef>
              <c:f>Scandium!$I$4:$I$21</c:f>
              <c:numCache>
                <c:formatCode>0.000</c:formatCode>
                <c:ptCount val="18"/>
                <c:pt idx="0">
                  <c:v>1.1989E-2</c:v>
                </c:pt>
                <c:pt idx="1">
                  <c:v>1.2097E-2</c:v>
                </c:pt>
                <c:pt idx="2">
                  <c:v>1.5068000000000002E-2</c:v>
                </c:pt>
                <c:pt idx="3">
                  <c:v>0</c:v>
                </c:pt>
                <c:pt idx="4">
                  <c:v>0</c:v>
                </c:pt>
                <c:pt idx="5">
                  <c:v>0</c:v>
                </c:pt>
                <c:pt idx="6">
                  <c:v>9.493999999999999E-3</c:v>
                </c:pt>
                <c:pt idx="7">
                  <c:v>8.9859999999999992E-3</c:v>
                </c:pt>
                <c:pt idx="8">
                  <c:v>1.2379000000000001E-2</c:v>
                </c:pt>
                <c:pt idx="9">
                  <c:v>0</c:v>
                </c:pt>
                <c:pt idx="10">
                  <c:v>0</c:v>
                </c:pt>
                <c:pt idx="11">
                  <c:v>0</c:v>
                </c:pt>
                <c:pt idx="12">
                  <c:v>0</c:v>
                </c:pt>
                <c:pt idx="13">
                  <c:v>0</c:v>
                </c:pt>
                <c:pt idx="14">
                  <c:v>0</c:v>
                </c:pt>
                <c:pt idx="15">
                  <c:v>0</c:v>
                </c:pt>
                <c:pt idx="16">
                  <c:v>0</c:v>
                </c:pt>
                <c:pt idx="17">
                  <c:v>0</c:v>
                </c:pt>
              </c:numCache>
            </c:numRef>
          </c:yVal>
          <c:smooth val="0"/>
          <c:extLst>
            <c:ext xmlns:c16="http://schemas.microsoft.com/office/drawing/2014/chart" uri="{C3380CC4-5D6E-409C-BE32-E72D297353CC}">
              <c16:uniqueId val="{00000001-A10D-2346-8238-7707004A1B52}"/>
            </c:ext>
          </c:extLst>
        </c:ser>
        <c:dLbls>
          <c:showLegendKey val="0"/>
          <c:showVal val="0"/>
          <c:showCatName val="0"/>
          <c:showSerName val="0"/>
          <c:showPercent val="0"/>
          <c:showBubbleSize val="0"/>
        </c:dLbls>
        <c:axId val="214872416"/>
        <c:axId val="214872808"/>
      </c:scatterChart>
      <c:valAx>
        <c:axId val="21487241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Standard Value (wt.%)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4872808"/>
        <c:crosses val="autoZero"/>
        <c:crossBetween val="midCat"/>
      </c:valAx>
      <c:valAx>
        <c:axId val="2148728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pXRF Reading (wt%)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4872416"/>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Chromium</a:t>
            </a:r>
          </a:p>
        </c:rich>
      </c:tx>
      <c:layout>
        <c:manualLayout>
          <c:xMode val="edge"/>
          <c:yMode val="edge"/>
          <c:x val="0.48100952525165125"/>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414752242508148"/>
          <c:y val="7.4878873415864258E-2"/>
          <c:w val="0.83808622479882322"/>
          <c:h val="0.80369817385114994"/>
        </c:manualLayout>
      </c:layout>
      <c:scatterChart>
        <c:scatterStyle val="lineMarker"/>
        <c:varyColors val="0"/>
        <c:ser>
          <c:idx val="6"/>
          <c:order val="0"/>
          <c:tx>
            <c:v>Trendline</c:v>
          </c:tx>
          <c:spPr>
            <a:ln w="25400" cap="rnd">
              <a:noFill/>
              <a:round/>
            </a:ln>
            <a:effectLst/>
          </c:spPr>
          <c:marker>
            <c:symbol val="circle"/>
            <c:size val="5"/>
            <c:spPr>
              <a:solidFill>
                <a:schemeClr val="accent1">
                  <a:lumMod val="60000"/>
                </a:schemeClr>
              </a:solidFill>
              <a:ln w="9525">
                <a:solidFill>
                  <a:schemeClr val="accent1">
                    <a:lumMod val="60000"/>
                  </a:schemeClr>
                </a:solidFill>
              </a:ln>
              <a:effectLst/>
            </c:spPr>
          </c:marker>
          <c:trendline>
            <c:spPr>
              <a:ln w="19050" cap="rnd">
                <a:solidFill>
                  <a:schemeClr val="accent1">
                    <a:lumMod val="60000"/>
                  </a:schemeClr>
                </a:solidFill>
                <a:prstDash val="sysDot"/>
              </a:ln>
              <a:effectLst/>
            </c:spPr>
            <c:trendlineType val="linear"/>
            <c:dispRSqr val="1"/>
            <c:dispEq val="1"/>
            <c:trendlineLbl>
              <c:layout>
                <c:manualLayout>
                  <c:x val="-2.2944968417409364E-2"/>
                  <c:y val="-2.6450798523065987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Chromium!$E$4:$E$24</c:f>
              <c:numCache>
                <c:formatCode>General</c:formatCode>
                <c:ptCount val="21"/>
                <c:pt idx="0">
                  <c:v>1.8E-3</c:v>
                </c:pt>
                <c:pt idx="2">
                  <c:v>1.8E-3</c:v>
                </c:pt>
                <c:pt idx="3">
                  <c:v>2E-3</c:v>
                </c:pt>
                <c:pt idx="4">
                  <c:v>2E-3</c:v>
                </c:pt>
                <c:pt idx="5">
                  <c:v>2E-3</c:v>
                </c:pt>
                <c:pt idx="6">
                  <c:v>1.6999999999999999E-3</c:v>
                </c:pt>
                <c:pt idx="7">
                  <c:v>1.6999999999999999E-3</c:v>
                </c:pt>
                <c:pt idx="8">
                  <c:v>1.6999999999999999E-3</c:v>
                </c:pt>
                <c:pt idx="12">
                  <c:v>1.09E-2</c:v>
                </c:pt>
                <c:pt idx="13">
                  <c:v>1.09E-2</c:v>
                </c:pt>
                <c:pt idx="14">
                  <c:v>1.09E-2</c:v>
                </c:pt>
                <c:pt idx="15">
                  <c:v>6.4000000000000003E-3</c:v>
                </c:pt>
                <c:pt idx="16">
                  <c:v>6.4000000000000003E-3</c:v>
                </c:pt>
                <c:pt idx="17">
                  <c:v>6.4000000000000003E-3</c:v>
                </c:pt>
                <c:pt idx="18">
                  <c:v>7.9699999999999997E-3</c:v>
                </c:pt>
                <c:pt idx="19">
                  <c:v>7.9699999999999997E-3</c:v>
                </c:pt>
                <c:pt idx="20">
                  <c:v>7.9699999999999997E-3</c:v>
                </c:pt>
              </c:numCache>
            </c:numRef>
          </c:xVal>
          <c:yVal>
            <c:numRef>
              <c:f>Chromium!$I$4:$I$24</c:f>
              <c:numCache>
                <c:formatCode>0.000</c:formatCode>
                <c:ptCount val="21"/>
                <c:pt idx="0">
                  <c:v>1.5438E-2</c:v>
                </c:pt>
                <c:pt idx="1">
                  <c:v>0</c:v>
                </c:pt>
                <c:pt idx="2">
                  <c:v>1.4337000000000001E-2</c:v>
                </c:pt>
                <c:pt idx="3">
                  <c:v>9.8760000000000011E-3</c:v>
                </c:pt>
                <c:pt idx="4">
                  <c:v>8.9099999999999995E-3</c:v>
                </c:pt>
                <c:pt idx="5">
                  <c:v>9.604999999999999E-3</c:v>
                </c:pt>
                <c:pt idx="6">
                  <c:v>1.1087E-2</c:v>
                </c:pt>
                <c:pt idx="7">
                  <c:v>1.2891E-2</c:v>
                </c:pt>
                <c:pt idx="8">
                  <c:v>1.2329999999999999E-2</c:v>
                </c:pt>
                <c:pt idx="9">
                  <c:v>1.0576E-2</c:v>
                </c:pt>
                <c:pt idx="10">
                  <c:v>9.2819999999999986E-3</c:v>
                </c:pt>
                <c:pt idx="11">
                  <c:v>1.4088E-2</c:v>
                </c:pt>
                <c:pt idx="12">
                  <c:v>2.3346000000000002E-2</c:v>
                </c:pt>
                <c:pt idx="13">
                  <c:v>2.6658999999999999E-2</c:v>
                </c:pt>
                <c:pt idx="14">
                  <c:v>2.3483E-2</c:v>
                </c:pt>
                <c:pt idx="15">
                  <c:v>1.5875E-2</c:v>
                </c:pt>
                <c:pt idx="16">
                  <c:v>1.6256E-2</c:v>
                </c:pt>
                <c:pt idx="17">
                  <c:v>1.5587999999999999E-2</c:v>
                </c:pt>
                <c:pt idx="18">
                  <c:v>1.1245999999999999E-2</c:v>
                </c:pt>
                <c:pt idx="19">
                  <c:v>9.8440000000000003E-3</c:v>
                </c:pt>
                <c:pt idx="20">
                  <c:v>1.0931999999999999E-2</c:v>
                </c:pt>
              </c:numCache>
            </c:numRef>
          </c:yVal>
          <c:smooth val="0"/>
          <c:extLst>
            <c:ext xmlns:c16="http://schemas.microsoft.com/office/drawing/2014/chart" uri="{C3380CC4-5D6E-409C-BE32-E72D297353CC}">
              <c16:uniqueId val="{00000001-2D11-F84E-89CE-44A9220AF814}"/>
            </c:ext>
          </c:extLst>
        </c:ser>
        <c:dLbls>
          <c:showLegendKey val="0"/>
          <c:showVal val="0"/>
          <c:showCatName val="0"/>
          <c:showSerName val="0"/>
          <c:showPercent val="0"/>
          <c:showBubbleSize val="0"/>
        </c:dLbls>
        <c:axId val="214873592"/>
        <c:axId val="214873984"/>
      </c:scatterChart>
      <c:valAx>
        <c:axId val="21487359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Standard Value (wt.%)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4873984"/>
        <c:crosses val="autoZero"/>
        <c:crossBetween val="midCat"/>
      </c:valAx>
      <c:valAx>
        <c:axId val="2148739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pXRF Reading (wt%)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487359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Barium</a:t>
            </a:r>
          </a:p>
        </c:rich>
      </c:tx>
      <c:layout>
        <c:manualLayout>
          <c:xMode val="edge"/>
          <c:yMode val="edge"/>
          <c:x val="0.48100952525165125"/>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414752242508148"/>
          <c:y val="7.4878873415864258E-2"/>
          <c:w val="0.83808622479882322"/>
          <c:h val="0.80369817385114994"/>
        </c:manualLayout>
      </c:layout>
      <c:scatterChart>
        <c:scatterStyle val="lineMarker"/>
        <c:varyColors val="0"/>
        <c:ser>
          <c:idx val="6"/>
          <c:order val="0"/>
          <c:tx>
            <c:v>Trendline</c:v>
          </c:tx>
          <c:spPr>
            <a:ln w="25400" cap="rnd">
              <a:noFill/>
              <a:round/>
            </a:ln>
            <a:effectLst/>
          </c:spPr>
          <c:marker>
            <c:symbol val="circle"/>
            <c:size val="5"/>
            <c:spPr>
              <a:solidFill>
                <a:schemeClr val="accent1">
                  <a:lumMod val="60000"/>
                </a:schemeClr>
              </a:solidFill>
              <a:ln w="9525">
                <a:solidFill>
                  <a:schemeClr val="accent1">
                    <a:lumMod val="60000"/>
                  </a:schemeClr>
                </a:solidFill>
              </a:ln>
              <a:effectLst/>
            </c:spPr>
          </c:marker>
          <c:trendline>
            <c:spPr>
              <a:ln w="19050" cap="rnd">
                <a:solidFill>
                  <a:schemeClr val="accent1">
                    <a:lumMod val="60000"/>
                  </a:schemeClr>
                </a:solidFill>
                <a:prstDash val="sysDot"/>
              </a:ln>
              <a:effectLst/>
            </c:spPr>
            <c:trendlineType val="linear"/>
            <c:dispRSqr val="1"/>
            <c:dispEq val="1"/>
            <c:trendlineLbl>
              <c:layout>
                <c:manualLayout>
                  <c:x val="-2.2944968417409364E-2"/>
                  <c:y val="-2.6450798523065987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Barium!$E$4:$E$30</c:f>
              <c:numCache>
                <c:formatCode>General</c:formatCode>
                <c:ptCount val="27"/>
                <c:pt idx="0">
                  <c:v>6.83E-2</c:v>
                </c:pt>
                <c:pt idx="1">
                  <c:v>6.83E-2</c:v>
                </c:pt>
                <c:pt idx="2">
                  <c:v>6.83E-2</c:v>
                </c:pt>
                <c:pt idx="3">
                  <c:v>0.13400000000000001</c:v>
                </c:pt>
                <c:pt idx="4">
                  <c:v>0.13400000000000001</c:v>
                </c:pt>
                <c:pt idx="5">
                  <c:v>0.13400000000000001</c:v>
                </c:pt>
                <c:pt idx="6">
                  <c:v>0.114</c:v>
                </c:pt>
                <c:pt idx="7">
                  <c:v>0.114</c:v>
                </c:pt>
                <c:pt idx="8">
                  <c:v>0.114</c:v>
                </c:pt>
                <c:pt idx="9">
                  <c:v>0.33500000000000002</c:v>
                </c:pt>
                <c:pt idx="10">
                  <c:v>0.33500000000000002</c:v>
                </c:pt>
                <c:pt idx="11">
                  <c:v>0.33500000000000002</c:v>
                </c:pt>
                <c:pt idx="12">
                  <c:v>7.8799999999999995E-2</c:v>
                </c:pt>
                <c:pt idx="13">
                  <c:v>7.8799999999999995E-2</c:v>
                </c:pt>
                <c:pt idx="14">
                  <c:v>7.8799999999999995E-2</c:v>
                </c:pt>
                <c:pt idx="15">
                  <c:v>6.3E-2</c:v>
                </c:pt>
                <c:pt idx="16">
                  <c:v>6.3E-2</c:v>
                </c:pt>
                <c:pt idx="17">
                  <c:v>6.3E-2</c:v>
                </c:pt>
                <c:pt idx="18">
                  <c:v>8.0100000000000005E-2</c:v>
                </c:pt>
                <c:pt idx="19">
                  <c:v>8.0100000000000005E-2</c:v>
                </c:pt>
                <c:pt idx="20">
                  <c:v>8.0100000000000005E-2</c:v>
                </c:pt>
                <c:pt idx="21">
                  <c:v>3.95E-2</c:v>
                </c:pt>
                <c:pt idx="22">
                  <c:v>3.95E-2</c:v>
                </c:pt>
                <c:pt idx="23">
                  <c:v>3.95E-2</c:v>
                </c:pt>
                <c:pt idx="24">
                  <c:v>9.7900000000000001E-2</c:v>
                </c:pt>
                <c:pt idx="25">
                  <c:v>9.7900000000000001E-2</c:v>
                </c:pt>
                <c:pt idx="26">
                  <c:v>9.7900000000000001E-2</c:v>
                </c:pt>
              </c:numCache>
            </c:numRef>
          </c:xVal>
          <c:yVal>
            <c:numRef>
              <c:f>Barium!$I$4:$I$30</c:f>
              <c:numCache>
                <c:formatCode>0.000</c:formatCode>
                <c:ptCount val="27"/>
                <c:pt idx="0">
                  <c:v>9.3047000000000005E-2</c:v>
                </c:pt>
                <c:pt idx="1">
                  <c:v>9.7540000000000002E-2</c:v>
                </c:pt>
                <c:pt idx="2">
                  <c:v>8.7365999999999999E-2</c:v>
                </c:pt>
                <c:pt idx="3">
                  <c:v>6.7158000000000009E-2</c:v>
                </c:pt>
                <c:pt idx="4">
                  <c:v>6.6626999999999992E-2</c:v>
                </c:pt>
                <c:pt idx="5">
                  <c:v>6.8002999999999994E-2</c:v>
                </c:pt>
                <c:pt idx="6">
                  <c:v>8.6738999999999997E-2</c:v>
                </c:pt>
                <c:pt idx="7">
                  <c:v>8.7583000000000008E-2</c:v>
                </c:pt>
                <c:pt idx="8">
                  <c:v>8.8500999999999996E-2</c:v>
                </c:pt>
                <c:pt idx="9">
                  <c:v>0.331874</c:v>
                </c:pt>
                <c:pt idx="10">
                  <c:v>0.33457199999999998</c:v>
                </c:pt>
                <c:pt idx="11">
                  <c:v>0.21275700000000003</c:v>
                </c:pt>
                <c:pt idx="12">
                  <c:v>6.6903999999999991E-2</c:v>
                </c:pt>
                <c:pt idx="13">
                  <c:v>6.5922999999999995E-2</c:v>
                </c:pt>
                <c:pt idx="14">
                  <c:v>7.2180999999999995E-2</c:v>
                </c:pt>
                <c:pt idx="15">
                  <c:v>4.7127999999999996E-2</c:v>
                </c:pt>
                <c:pt idx="16">
                  <c:v>5.0187999999999997E-2</c:v>
                </c:pt>
                <c:pt idx="17">
                  <c:v>5.4949999999999999E-2</c:v>
                </c:pt>
                <c:pt idx="18">
                  <c:v>7.8890000000000002E-2</c:v>
                </c:pt>
                <c:pt idx="19">
                  <c:v>7.7852999999999992E-2</c:v>
                </c:pt>
                <c:pt idx="20">
                  <c:v>7.6984999999999998E-2</c:v>
                </c:pt>
                <c:pt idx="21">
                  <c:v>3.8150999999999997E-2</c:v>
                </c:pt>
                <c:pt idx="22">
                  <c:v>4.0326999999999995E-2</c:v>
                </c:pt>
                <c:pt idx="23">
                  <c:v>4.2248000000000001E-2</c:v>
                </c:pt>
                <c:pt idx="24">
                  <c:v>7.9565999999999998E-2</c:v>
                </c:pt>
                <c:pt idx="25">
                  <c:v>7.9070000000000001E-2</c:v>
                </c:pt>
                <c:pt idx="26">
                  <c:v>7.9913999999999999E-2</c:v>
                </c:pt>
              </c:numCache>
            </c:numRef>
          </c:yVal>
          <c:smooth val="0"/>
          <c:extLst>
            <c:ext xmlns:c16="http://schemas.microsoft.com/office/drawing/2014/chart" uri="{C3380CC4-5D6E-409C-BE32-E72D297353CC}">
              <c16:uniqueId val="{00000001-9347-0041-BDBD-953133145810}"/>
            </c:ext>
          </c:extLst>
        </c:ser>
        <c:dLbls>
          <c:showLegendKey val="0"/>
          <c:showVal val="0"/>
          <c:showCatName val="0"/>
          <c:showSerName val="0"/>
          <c:showPercent val="0"/>
          <c:showBubbleSize val="0"/>
        </c:dLbls>
        <c:axId val="214874768"/>
        <c:axId val="214875160"/>
      </c:scatterChart>
      <c:valAx>
        <c:axId val="21487476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Standard Value (wt.%)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4875160"/>
        <c:crosses val="autoZero"/>
        <c:crossBetween val="midCat"/>
      </c:valAx>
      <c:valAx>
        <c:axId val="2148751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pXRF Reading (wt%)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4874768"/>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Strontium</a:t>
            </a:r>
          </a:p>
        </c:rich>
      </c:tx>
      <c:layout>
        <c:manualLayout>
          <c:xMode val="edge"/>
          <c:yMode val="edge"/>
          <c:x val="0.48100952525165125"/>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414752242508148"/>
          <c:y val="7.4878873415864258E-2"/>
          <c:w val="0.83808622479882322"/>
          <c:h val="0.80369817385114994"/>
        </c:manualLayout>
      </c:layout>
      <c:scatterChart>
        <c:scatterStyle val="lineMarker"/>
        <c:varyColors val="0"/>
        <c:ser>
          <c:idx val="6"/>
          <c:order val="0"/>
          <c:tx>
            <c:v>Trendline</c:v>
          </c:tx>
          <c:spPr>
            <a:ln w="25400" cap="rnd">
              <a:noFill/>
              <a:round/>
            </a:ln>
            <a:effectLst/>
          </c:spPr>
          <c:marker>
            <c:symbol val="circle"/>
            <c:size val="5"/>
            <c:spPr>
              <a:solidFill>
                <a:schemeClr val="accent1">
                  <a:lumMod val="60000"/>
                </a:schemeClr>
              </a:solidFill>
              <a:ln w="9525">
                <a:solidFill>
                  <a:schemeClr val="accent1">
                    <a:lumMod val="60000"/>
                  </a:schemeClr>
                </a:solidFill>
              </a:ln>
              <a:effectLst/>
            </c:spPr>
          </c:marker>
          <c:trendline>
            <c:spPr>
              <a:ln w="19050" cap="rnd">
                <a:solidFill>
                  <a:schemeClr val="accent1">
                    <a:lumMod val="60000"/>
                  </a:schemeClr>
                </a:solidFill>
                <a:prstDash val="sysDot"/>
              </a:ln>
              <a:effectLst/>
            </c:spPr>
            <c:trendlineType val="linear"/>
            <c:dispRSqr val="1"/>
            <c:dispEq val="1"/>
            <c:trendlineLbl>
              <c:layout>
                <c:manualLayout>
                  <c:x val="0.17001546681664792"/>
                  <c:y val="9.6907113305752038E-3"/>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Strontium!$E$4:$E$30</c:f>
              <c:numCache>
                <c:formatCode>General</c:formatCode>
                <c:ptCount val="27"/>
                <c:pt idx="0">
                  <c:v>3.4599999999999999E-2</c:v>
                </c:pt>
                <c:pt idx="1">
                  <c:v>3.4599999999999999E-2</c:v>
                </c:pt>
                <c:pt idx="2">
                  <c:v>3.4599999999999999E-2</c:v>
                </c:pt>
                <c:pt idx="3">
                  <c:v>2.4E-2</c:v>
                </c:pt>
                <c:pt idx="4">
                  <c:v>2.4E-2</c:v>
                </c:pt>
                <c:pt idx="5">
                  <c:v>2.4E-2</c:v>
                </c:pt>
                <c:pt idx="6">
                  <c:v>6.5799999999999997E-2</c:v>
                </c:pt>
                <c:pt idx="7">
                  <c:v>6.5799999999999997E-2</c:v>
                </c:pt>
                <c:pt idx="8">
                  <c:v>6.5799999999999997E-2</c:v>
                </c:pt>
                <c:pt idx="9">
                  <c:v>6.8000000000000005E-2</c:v>
                </c:pt>
                <c:pt idx="10">
                  <c:v>6.8000000000000005E-2</c:v>
                </c:pt>
                <c:pt idx="11">
                  <c:v>6.8000000000000005E-2</c:v>
                </c:pt>
                <c:pt idx="12">
                  <c:v>1.78E-2</c:v>
                </c:pt>
                <c:pt idx="13">
                  <c:v>1.78E-2</c:v>
                </c:pt>
                <c:pt idx="14">
                  <c:v>1.78E-2</c:v>
                </c:pt>
                <c:pt idx="15">
                  <c:v>1.7999999999999999E-2</c:v>
                </c:pt>
                <c:pt idx="16">
                  <c:v>1.7999999999999999E-2</c:v>
                </c:pt>
                <c:pt idx="17">
                  <c:v>1.7999999999999999E-2</c:v>
                </c:pt>
                <c:pt idx="18">
                  <c:v>1.5100000000000001E-2</c:v>
                </c:pt>
                <c:pt idx="19">
                  <c:v>1.5100000000000001E-2</c:v>
                </c:pt>
                <c:pt idx="20">
                  <c:v>1.5100000000000001E-2</c:v>
                </c:pt>
                <c:pt idx="21">
                  <c:v>1.09E-2</c:v>
                </c:pt>
                <c:pt idx="22">
                  <c:v>1.09E-2</c:v>
                </c:pt>
                <c:pt idx="23">
                  <c:v>1.09E-2</c:v>
                </c:pt>
                <c:pt idx="24">
                  <c:v>2.3900000000000001E-2</c:v>
                </c:pt>
                <c:pt idx="25">
                  <c:v>2.3900000000000001E-2</c:v>
                </c:pt>
                <c:pt idx="26">
                  <c:v>2.3900000000000001E-2</c:v>
                </c:pt>
              </c:numCache>
            </c:numRef>
          </c:xVal>
          <c:yVal>
            <c:numRef>
              <c:f>Strontium!$I$4:$I$30</c:f>
              <c:numCache>
                <c:formatCode>0.000</c:formatCode>
                <c:ptCount val="27"/>
                <c:pt idx="0">
                  <c:v>3.2402E-2</c:v>
                </c:pt>
                <c:pt idx="1">
                  <c:v>3.2182000000000002E-2</c:v>
                </c:pt>
                <c:pt idx="2">
                  <c:v>3.2704000000000004E-2</c:v>
                </c:pt>
                <c:pt idx="3">
                  <c:v>2.3134999999999999E-2</c:v>
                </c:pt>
                <c:pt idx="4">
                  <c:v>2.3262000000000001E-2</c:v>
                </c:pt>
                <c:pt idx="5">
                  <c:v>2.3088000000000001E-2</c:v>
                </c:pt>
                <c:pt idx="6">
                  <c:v>6.2274999999999997E-2</c:v>
                </c:pt>
                <c:pt idx="7">
                  <c:v>6.1297000000000004E-2</c:v>
                </c:pt>
                <c:pt idx="8">
                  <c:v>6.1911000000000001E-2</c:v>
                </c:pt>
                <c:pt idx="9">
                  <c:v>3.9916E-2</c:v>
                </c:pt>
                <c:pt idx="10">
                  <c:v>3.9528000000000001E-2</c:v>
                </c:pt>
                <c:pt idx="11">
                  <c:v>3.4824000000000001E-2</c:v>
                </c:pt>
                <c:pt idx="12">
                  <c:v>1.6829E-2</c:v>
                </c:pt>
                <c:pt idx="13">
                  <c:v>1.7508000000000003E-2</c:v>
                </c:pt>
                <c:pt idx="14">
                  <c:v>1.703E-2</c:v>
                </c:pt>
                <c:pt idx="15">
                  <c:v>1.7304E-2</c:v>
                </c:pt>
                <c:pt idx="16">
                  <c:v>1.6951000000000001E-2</c:v>
                </c:pt>
                <c:pt idx="17">
                  <c:v>1.6799000000000001E-2</c:v>
                </c:pt>
                <c:pt idx="18">
                  <c:v>1.4894999999999999E-2</c:v>
                </c:pt>
                <c:pt idx="19">
                  <c:v>1.47E-2</c:v>
                </c:pt>
                <c:pt idx="20">
                  <c:v>1.4669E-2</c:v>
                </c:pt>
                <c:pt idx="21">
                  <c:v>1.1106999999999999E-2</c:v>
                </c:pt>
                <c:pt idx="22">
                  <c:v>1.1141E-2</c:v>
                </c:pt>
                <c:pt idx="23">
                  <c:v>1.1104000000000001E-2</c:v>
                </c:pt>
                <c:pt idx="24">
                  <c:v>2.1641999999999998E-2</c:v>
                </c:pt>
                <c:pt idx="25">
                  <c:v>2.1513999999999998E-2</c:v>
                </c:pt>
                <c:pt idx="26">
                  <c:v>2.1226999999999999E-2</c:v>
                </c:pt>
              </c:numCache>
            </c:numRef>
          </c:yVal>
          <c:smooth val="0"/>
          <c:extLst>
            <c:ext xmlns:c16="http://schemas.microsoft.com/office/drawing/2014/chart" uri="{C3380CC4-5D6E-409C-BE32-E72D297353CC}">
              <c16:uniqueId val="{00000001-0CB9-0848-995E-96C79D1A6D87}"/>
            </c:ext>
          </c:extLst>
        </c:ser>
        <c:ser>
          <c:idx val="0"/>
          <c:order val="1"/>
          <c:tx>
            <c:v>No Nod-P-1</c:v>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1"/>
            <c:dispEq val="1"/>
            <c:trendlineLbl>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(Strontium!$E$4:$E$12,Strontium!$E$16:$E$30)</c:f>
              <c:numCache>
                <c:formatCode>General</c:formatCode>
                <c:ptCount val="24"/>
                <c:pt idx="0">
                  <c:v>3.4599999999999999E-2</c:v>
                </c:pt>
                <c:pt idx="1">
                  <c:v>3.4599999999999999E-2</c:v>
                </c:pt>
                <c:pt idx="2">
                  <c:v>3.4599999999999999E-2</c:v>
                </c:pt>
                <c:pt idx="3">
                  <c:v>2.4E-2</c:v>
                </c:pt>
                <c:pt idx="4">
                  <c:v>2.4E-2</c:v>
                </c:pt>
                <c:pt idx="5">
                  <c:v>2.4E-2</c:v>
                </c:pt>
                <c:pt idx="6">
                  <c:v>6.5799999999999997E-2</c:v>
                </c:pt>
                <c:pt idx="7">
                  <c:v>6.5799999999999997E-2</c:v>
                </c:pt>
                <c:pt idx="8">
                  <c:v>6.5799999999999997E-2</c:v>
                </c:pt>
                <c:pt idx="9">
                  <c:v>1.78E-2</c:v>
                </c:pt>
                <c:pt idx="10">
                  <c:v>1.78E-2</c:v>
                </c:pt>
                <c:pt idx="11">
                  <c:v>1.78E-2</c:v>
                </c:pt>
                <c:pt idx="12">
                  <c:v>1.7999999999999999E-2</c:v>
                </c:pt>
                <c:pt idx="13">
                  <c:v>1.7999999999999999E-2</c:v>
                </c:pt>
                <c:pt idx="14">
                  <c:v>1.7999999999999999E-2</c:v>
                </c:pt>
                <c:pt idx="15">
                  <c:v>1.5100000000000001E-2</c:v>
                </c:pt>
                <c:pt idx="16">
                  <c:v>1.5100000000000001E-2</c:v>
                </c:pt>
                <c:pt idx="17">
                  <c:v>1.5100000000000001E-2</c:v>
                </c:pt>
                <c:pt idx="18">
                  <c:v>1.09E-2</c:v>
                </c:pt>
                <c:pt idx="19">
                  <c:v>1.09E-2</c:v>
                </c:pt>
                <c:pt idx="20">
                  <c:v>1.09E-2</c:v>
                </c:pt>
                <c:pt idx="21">
                  <c:v>2.3900000000000001E-2</c:v>
                </c:pt>
                <c:pt idx="22">
                  <c:v>2.3900000000000001E-2</c:v>
                </c:pt>
                <c:pt idx="23">
                  <c:v>2.3900000000000001E-2</c:v>
                </c:pt>
              </c:numCache>
            </c:numRef>
          </c:xVal>
          <c:yVal>
            <c:numRef>
              <c:f>(Strontium!$I$4:$I$12,Strontium!$I$16:$I$30)</c:f>
              <c:numCache>
                <c:formatCode>0.000</c:formatCode>
                <c:ptCount val="24"/>
                <c:pt idx="0">
                  <c:v>3.2402E-2</c:v>
                </c:pt>
                <c:pt idx="1">
                  <c:v>3.2182000000000002E-2</c:v>
                </c:pt>
                <c:pt idx="2">
                  <c:v>3.2704000000000004E-2</c:v>
                </c:pt>
                <c:pt idx="3">
                  <c:v>2.3134999999999999E-2</c:v>
                </c:pt>
                <c:pt idx="4">
                  <c:v>2.3262000000000001E-2</c:v>
                </c:pt>
                <c:pt idx="5">
                  <c:v>2.3088000000000001E-2</c:v>
                </c:pt>
                <c:pt idx="6">
                  <c:v>6.2274999999999997E-2</c:v>
                </c:pt>
                <c:pt idx="7">
                  <c:v>6.1297000000000004E-2</c:v>
                </c:pt>
                <c:pt idx="8">
                  <c:v>6.1911000000000001E-2</c:v>
                </c:pt>
                <c:pt idx="9">
                  <c:v>1.6829E-2</c:v>
                </c:pt>
                <c:pt idx="10">
                  <c:v>1.7508000000000003E-2</c:v>
                </c:pt>
                <c:pt idx="11">
                  <c:v>1.703E-2</c:v>
                </c:pt>
                <c:pt idx="12">
                  <c:v>1.7304E-2</c:v>
                </c:pt>
                <c:pt idx="13">
                  <c:v>1.6951000000000001E-2</c:v>
                </c:pt>
                <c:pt idx="14">
                  <c:v>1.6799000000000001E-2</c:v>
                </c:pt>
                <c:pt idx="15">
                  <c:v>1.4894999999999999E-2</c:v>
                </c:pt>
                <c:pt idx="16">
                  <c:v>1.47E-2</c:v>
                </c:pt>
                <c:pt idx="17">
                  <c:v>1.4669E-2</c:v>
                </c:pt>
                <c:pt idx="18">
                  <c:v>1.1106999999999999E-2</c:v>
                </c:pt>
                <c:pt idx="19">
                  <c:v>1.1141E-2</c:v>
                </c:pt>
                <c:pt idx="20">
                  <c:v>1.1104000000000001E-2</c:v>
                </c:pt>
                <c:pt idx="21">
                  <c:v>2.1641999999999998E-2</c:v>
                </c:pt>
                <c:pt idx="22">
                  <c:v>2.1513999999999998E-2</c:v>
                </c:pt>
                <c:pt idx="23">
                  <c:v>2.1226999999999999E-2</c:v>
                </c:pt>
              </c:numCache>
            </c:numRef>
          </c:yVal>
          <c:smooth val="0"/>
          <c:extLst>
            <c:ext xmlns:c16="http://schemas.microsoft.com/office/drawing/2014/chart" uri="{C3380CC4-5D6E-409C-BE32-E72D297353CC}">
              <c16:uniqueId val="{00000003-0CB9-0848-995E-96C79D1A6D87}"/>
            </c:ext>
          </c:extLst>
        </c:ser>
        <c:dLbls>
          <c:showLegendKey val="0"/>
          <c:showVal val="0"/>
          <c:showCatName val="0"/>
          <c:showSerName val="0"/>
          <c:showPercent val="0"/>
          <c:showBubbleSize val="0"/>
        </c:dLbls>
        <c:axId val="228480280"/>
        <c:axId val="228480672"/>
      </c:scatterChart>
      <c:valAx>
        <c:axId val="22848028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Standard Value (wt.%)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8480672"/>
        <c:crosses val="autoZero"/>
        <c:crossBetween val="midCat"/>
      </c:valAx>
      <c:valAx>
        <c:axId val="2284806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pXRF Reading (wt%)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8480280"/>
        <c:crosses val="autoZero"/>
        <c:crossBetween val="midCat"/>
      </c:valAx>
      <c:spPr>
        <a:noFill/>
        <a:ln>
          <a:noFill/>
        </a:ln>
        <a:effectLst/>
      </c:spPr>
    </c:plotArea>
    <c:legend>
      <c:legendPos val="r"/>
      <c:layout>
        <c:manualLayout>
          <c:xMode val="edge"/>
          <c:yMode val="edge"/>
          <c:x val="0.12980697124397911"/>
          <c:y val="0.10556046754748875"/>
          <c:w val="0.25206116062415274"/>
          <c:h val="0.238349125850794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Aluminum</a:t>
            </a:r>
          </a:p>
        </c:rich>
      </c:tx>
      <c:layout>
        <c:manualLayout>
          <c:xMode val="edge"/>
          <c:yMode val="edge"/>
          <c:x val="0.48100952525165125"/>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414752242508148"/>
          <c:y val="7.4878873415864258E-2"/>
          <c:w val="0.83808622479882322"/>
          <c:h val="0.80369817385114994"/>
        </c:manualLayout>
      </c:layout>
      <c:scatterChart>
        <c:scatterStyle val="lineMarker"/>
        <c:varyColors val="0"/>
        <c:ser>
          <c:idx val="6"/>
          <c:order val="0"/>
          <c:tx>
            <c:v>Trendline</c:v>
          </c:tx>
          <c:spPr>
            <a:ln w="25400" cap="rnd">
              <a:noFill/>
              <a:round/>
            </a:ln>
            <a:effectLst/>
          </c:spPr>
          <c:marker>
            <c:symbol val="circle"/>
            <c:size val="5"/>
            <c:spPr>
              <a:solidFill>
                <a:schemeClr val="accent1">
                  <a:lumMod val="60000"/>
                </a:schemeClr>
              </a:solidFill>
              <a:ln w="9525">
                <a:solidFill>
                  <a:schemeClr val="accent1">
                    <a:lumMod val="60000"/>
                  </a:schemeClr>
                </a:solidFill>
              </a:ln>
              <a:effectLst/>
            </c:spPr>
          </c:marker>
          <c:trendline>
            <c:spPr>
              <a:ln w="19050" cap="rnd">
                <a:solidFill>
                  <a:schemeClr val="accent1">
                    <a:lumMod val="60000"/>
                  </a:schemeClr>
                </a:solidFill>
                <a:prstDash val="sysDot"/>
              </a:ln>
              <a:effectLst/>
            </c:spPr>
            <c:trendlineType val="linear"/>
            <c:dispRSqr val="1"/>
            <c:dispEq val="1"/>
            <c:trendlineLbl>
              <c:layout>
                <c:manualLayout>
                  <c:x val="-2.2944968417409364E-2"/>
                  <c:y val="-2.6450798523065987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Aluminum!$E$4:$E$33</c:f>
              <c:numCache>
                <c:formatCode>General</c:formatCode>
                <c:ptCount val="30"/>
                <c:pt idx="0">
                  <c:v>7.14</c:v>
                </c:pt>
                <c:pt idx="1">
                  <c:v>7.14</c:v>
                </c:pt>
                <c:pt idx="2">
                  <c:v>7.14</c:v>
                </c:pt>
                <c:pt idx="3">
                  <c:v>7.88</c:v>
                </c:pt>
                <c:pt idx="4">
                  <c:v>7.88</c:v>
                </c:pt>
                <c:pt idx="5">
                  <c:v>7.88</c:v>
                </c:pt>
                <c:pt idx="6">
                  <c:v>8.9499999999999993</c:v>
                </c:pt>
                <c:pt idx="7">
                  <c:v>8.9499999999999993</c:v>
                </c:pt>
                <c:pt idx="8">
                  <c:v>8.9499999999999993</c:v>
                </c:pt>
                <c:pt idx="9">
                  <c:v>2.5401599999999998</c:v>
                </c:pt>
                <c:pt idx="10">
                  <c:v>2.5401599999999998</c:v>
                </c:pt>
                <c:pt idx="11">
                  <c:v>2.5401599999999998</c:v>
                </c:pt>
                <c:pt idx="12">
                  <c:v>11.113200000000001</c:v>
                </c:pt>
                <c:pt idx="13">
                  <c:v>11.113200000000001</c:v>
                </c:pt>
                <c:pt idx="14">
                  <c:v>11.113200000000001</c:v>
                </c:pt>
                <c:pt idx="15">
                  <c:v>8.3613600000000012</c:v>
                </c:pt>
                <c:pt idx="16">
                  <c:v>8.3613600000000012</c:v>
                </c:pt>
                <c:pt idx="17">
                  <c:v>8.3613600000000012</c:v>
                </c:pt>
                <c:pt idx="18">
                  <c:v>6.3</c:v>
                </c:pt>
                <c:pt idx="19">
                  <c:v>6.3</c:v>
                </c:pt>
                <c:pt idx="20">
                  <c:v>6.3</c:v>
                </c:pt>
                <c:pt idx="24">
                  <c:v>7.37</c:v>
                </c:pt>
                <c:pt idx="25">
                  <c:v>7.37</c:v>
                </c:pt>
                <c:pt idx="26">
                  <c:v>7.37</c:v>
                </c:pt>
                <c:pt idx="27">
                  <c:v>0</c:v>
                </c:pt>
                <c:pt idx="28">
                  <c:v>0</c:v>
                </c:pt>
                <c:pt idx="29">
                  <c:v>0</c:v>
                </c:pt>
              </c:numCache>
            </c:numRef>
          </c:xVal>
          <c:yVal>
            <c:numRef>
              <c:f>Aluminum!$I$4:$I$33</c:f>
              <c:numCache>
                <c:formatCode>0.000</c:formatCode>
                <c:ptCount val="30"/>
                <c:pt idx="0">
                  <c:v>7.0871130000000004</c:v>
                </c:pt>
                <c:pt idx="1">
                  <c:v>7.0523449999999999</c:v>
                </c:pt>
                <c:pt idx="2">
                  <c:v>7.071275</c:v>
                </c:pt>
                <c:pt idx="3">
                  <c:v>7.1518570000000006</c:v>
                </c:pt>
                <c:pt idx="4">
                  <c:v>7.0701520000000002</c:v>
                </c:pt>
                <c:pt idx="5">
                  <c:v>6.977525</c:v>
                </c:pt>
                <c:pt idx="6">
                  <c:v>7.3793470000000001</c:v>
                </c:pt>
                <c:pt idx="7">
                  <c:v>7.0205109999999999</c:v>
                </c:pt>
                <c:pt idx="8">
                  <c:v>7.2928309999999996</c:v>
                </c:pt>
                <c:pt idx="9">
                  <c:v>2.762292</c:v>
                </c:pt>
                <c:pt idx="10">
                  <c:v>2.662207</c:v>
                </c:pt>
                <c:pt idx="11">
                  <c:v>2.4214790000000002</c:v>
                </c:pt>
                <c:pt idx="12">
                  <c:v>10.762413</c:v>
                </c:pt>
                <c:pt idx="13">
                  <c:v>10.214058</c:v>
                </c:pt>
                <c:pt idx="14">
                  <c:v>10.46214</c:v>
                </c:pt>
                <c:pt idx="15">
                  <c:v>7.3706679999999993</c:v>
                </c:pt>
                <c:pt idx="16">
                  <c:v>7.1930729999999992</c:v>
                </c:pt>
                <c:pt idx="17">
                  <c:v>7.2816609999999997</c:v>
                </c:pt>
                <c:pt idx="18">
                  <c:v>5.5812889999999999</c:v>
                </c:pt>
                <c:pt idx="19">
                  <c:v>5.4689040000000002</c:v>
                </c:pt>
                <c:pt idx="20">
                  <c:v>5.6466589999999997</c:v>
                </c:pt>
                <c:pt idx="21">
                  <c:v>6.3055110000000001</c:v>
                </c:pt>
                <c:pt idx="22">
                  <c:v>6.3576800000000002</c:v>
                </c:pt>
                <c:pt idx="23">
                  <c:v>6.3830429999999998</c:v>
                </c:pt>
                <c:pt idx="24">
                  <c:v>6.2364009999999999</c:v>
                </c:pt>
                <c:pt idx="25">
                  <c:v>6.2760360000000004</c:v>
                </c:pt>
                <c:pt idx="26">
                  <c:v>6.2704610000000001</c:v>
                </c:pt>
                <c:pt idx="27" formatCode="General">
                  <c:v>0</c:v>
                </c:pt>
                <c:pt idx="28" formatCode="General">
                  <c:v>0</c:v>
                </c:pt>
                <c:pt idx="29" formatCode="General">
                  <c:v>0</c:v>
                </c:pt>
              </c:numCache>
            </c:numRef>
          </c:yVal>
          <c:smooth val="0"/>
          <c:extLst>
            <c:ext xmlns:c16="http://schemas.microsoft.com/office/drawing/2014/chart" uri="{C3380CC4-5D6E-409C-BE32-E72D297353CC}">
              <c16:uniqueId val="{00000001-B01F-8C4C-A77F-D45FACDF96C8}"/>
            </c:ext>
          </c:extLst>
        </c:ser>
        <c:dLbls>
          <c:showLegendKey val="0"/>
          <c:showVal val="0"/>
          <c:showCatName val="0"/>
          <c:showSerName val="0"/>
          <c:showPercent val="0"/>
          <c:showBubbleSize val="0"/>
        </c:dLbls>
        <c:axId val="228479496"/>
        <c:axId val="228481064"/>
      </c:scatterChart>
      <c:valAx>
        <c:axId val="22847949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Standard Value (wt.%)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8481064"/>
        <c:crosses val="autoZero"/>
        <c:crossBetween val="midCat"/>
      </c:valAx>
      <c:valAx>
        <c:axId val="2284810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pXRF Reading (wt%)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8479496"/>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Arsenic</a:t>
            </a:r>
          </a:p>
        </c:rich>
      </c:tx>
      <c:layout>
        <c:manualLayout>
          <c:xMode val="edge"/>
          <c:yMode val="edge"/>
          <c:x val="0.48100952525165125"/>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414752242508148"/>
          <c:y val="7.4878873415864258E-2"/>
          <c:w val="0.83808622479882322"/>
          <c:h val="0.80369817385114994"/>
        </c:manualLayout>
      </c:layout>
      <c:scatterChart>
        <c:scatterStyle val="lineMarker"/>
        <c:varyColors val="0"/>
        <c:ser>
          <c:idx val="6"/>
          <c:order val="0"/>
          <c:tx>
            <c:v>Trendline</c:v>
          </c:tx>
          <c:spPr>
            <a:ln w="25400" cap="rnd">
              <a:noFill/>
              <a:round/>
            </a:ln>
            <a:effectLst/>
          </c:spPr>
          <c:marker>
            <c:symbol val="circle"/>
            <c:size val="5"/>
            <c:spPr>
              <a:solidFill>
                <a:schemeClr val="accent1">
                  <a:lumMod val="60000"/>
                </a:schemeClr>
              </a:solidFill>
              <a:ln w="9525">
                <a:solidFill>
                  <a:schemeClr val="accent1">
                    <a:lumMod val="60000"/>
                  </a:schemeClr>
                </a:solidFill>
              </a:ln>
              <a:effectLst/>
            </c:spPr>
          </c:marker>
          <c:trendline>
            <c:spPr>
              <a:ln w="19050" cap="rnd">
                <a:solidFill>
                  <a:schemeClr val="accent1">
                    <a:lumMod val="60000"/>
                  </a:schemeClr>
                </a:solidFill>
                <a:prstDash val="sysDot"/>
              </a:ln>
              <a:effectLst/>
            </c:spPr>
            <c:trendlineType val="linear"/>
            <c:dispRSqr val="1"/>
            <c:dispEq val="1"/>
            <c:trendlineLbl>
              <c:layout>
                <c:manualLayout>
                  <c:x val="-2.2944968417409364E-2"/>
                  <c:y val="-2.6450798523065987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Arsenic!$E$4:$E$30</c:f>
              <c:numCache>
                <c:formatCode>General</c:formatCode>
                <c:ptCount val="27"/>
                <c:pt idx="12">
                  <c:v>2.5699999999999998E-3</c:v>
                </c:pt>
                <c:pt idx="13">
                  <c:v>2.5699999999999998E-3</c:v>
                </c:pt>
                <c:pt idx="14">
                  <c:v>2.5699999999999998E-3</c:v>
                </c:pt>
                <c:pt idx="18">
                  <c:v>3.8799999999999998E-3</c:v>
                </c:pt>
                <c:pt idx="19">
                  <c:v>3.8799999999999998E-3</c:v>
                </c:pt>
                <c:pt idx="20">
                  <c:v>3.8799999999999998E-3</c:v>
                </c:pt>
                <c:pt idx="21">
                  <c:v>1.11E-2</c:v>
                </c:pt>
                <c:pt idx="22">
                  <c:v>1.11E-2</c:v>
                </c:pt>
                <c:pt idx="23">
                  <c:v>1.11E-2</c:v>
                </c:pt>
                <c:pt idx="24">
                  <c:v>1.0499999999999999E-3</c:v>
                </c:pt>
                <c:pt idx="25">
                  <c:v>1.0499999999999999E-3</c:v>
                </c:pt>
                <c:pt idx="26">
                  <c:v>1.0499999999999999E-3</c:v>
                </c:pt>
              </c:numCache>
            </c:numRef>
          </c:xVal>
          <c:yVal>
            <c:numRef>
              <c:f>Arsenic!$I$4:$I$30</c:f>
              <c:numCache>
                <c:formatCode>0.000</c:formatCode>
                <c:ptCount val="27"/>
                <c:pt idx="12">
                  <c:v>5.914E-3</c:v>
                </c:pt>
                <c:pt idx="13">
                  <c:v>4.3840000000000007E-3</c:v>
                </c:pt>
                <c:pt idx="14">
                  <c:v>4.3880000000000004E-3</c:v>
                </c:pt>
                <c:pt idx="18">
                  <c:v>4.2139999999999999E-3</c:v>
                </c:pt>
                <c:pt idx="19">
                  <c:v>4.0610000000000004E-3</c:v>
                </c:pt>
                <c:pt idx="20">
                  <c:v>4.5649999999999996E-3</c:v>
                </c:pt>
                <c:pt idx="21">
                  <c:v>9.972E-3</c:v>
                </c:pt>
                <c:pt idx="22">
                  <c:v>1.0540000000000001E-2</c:v>
                </c:pt>
                <c:pt idx="23">
                  <c:v>1.0185E-2</c:v>
                </c:pt>
                <c:pt idx="24">
                  <c:v>1.3779999999999999E-3</c:v>
                </c:pt>
                <c:pt idx="25">
                  <c:v>1.9070000000000001E-3</c:v>
                </c:pt>
                <c:pt idx="26">
                  <c:v>2.6030000000000003E-3</c:v>
                </c:pt>
              </c:numCache>
            </c:numRef>
          </c:yVal>
          <c:smooth val="0"/>
          <c:extLst>
            <c:ext xmlns:c16="http://schemas.microsoft.com/office/drawing/2014/chart" uri="{C3380CC4-5D6E-409C-BE32-E72D297353CC}">
              <c16:uniqueId val="{00000001-A7A7-3B4E-A22D-68F5B1CFA31C}"/>
            </c:ext>
          </c:extLst>
        </c:ser>
        <c:dLbls>
          <c:showLegendKey val="0"/>
          <c:showVal val="0"/>
          <c:showCatName val="0"/>
          <c:showSerName val="0"/>
          <c:showPercent val="0"/>
          <c:showBubbleSize val="0"/>
        </c:dLbls>
        <c:axId val="228481848"/>
        <c:axId val="228482240"/>
      </c:scatterChart>
      <c:valAx>
        <c:axId val="22848184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Standard Value (wt.%)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8482240"/>
        <c:crosses val="autoZero"/>
        <c:crossBetween val="midCat"/>
      </c:valAx>
      <c:valAx>
        <c:axId val="2284822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pXRF Reading (wt%)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8481848"/>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Nickel</a:t>
            </a:r>
          </a:p>
        </c:rich>
      </c:tx>
      <c:layout>
        <c:manualLayout>
          <c:xMode val="edge"/>
          <c:yMode val="edge"/>
          <c:x val="0.48100952525165125"/>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414752242508148"/>
          <c:y val="7.4878873415864258E-2"/>
          <c:w val="0.83808622479882322"/>
          <c:h val="0.80369817385114994"/>
        </c:manualLayout>
      </c:layout>
      <c:scatterChart>
        <c:scatterStyle val="lineMarker"/>
        <c:varyColors val="0"/>
        <c:ser>
          <c:idx val="6"/>
          <c:order val="0"/>
          <c:tx>
            <c:v>Trendline</c:v>
          </c:tx>
          <c:spPr>
            <a:ln w="25400" cap="rnd">
              <a:noFill/>
              <a:round/>
            </a:ln>
            <a:effectLst/>
          </c:spPr>
          <c:marker>
            <c:symbol val="circle"/>
            <c:size val="5"/>
            <c:spPr>
              <a:solidFill>
                <a:schemeClr val="accent1">
                  <a:lumMod val="60000"/>
                </a:schemeClr>
              </a:solidFill>
              <a:ln w="9525">
                <a:solidFill>
                  <a:schemeClr val="accent1">
                    <a:lumMod val="60000"/>
                  </a:schemeClr>
                </a:solidFill>
              </a:ln>
              <a:effectLst/>
            </c:spPr>
          </c:marker>
          <c:trendline>
            <c:spPr>
              <a:ln w="19050" cap="rnd">
                <a:solidFill>
                  <a:schemeClr val="accent1">
                    <a:lumMod val="60000"/>
                  </a:schemeClr>
                </a:solidFill>
                <a:prstDash val="sysDot"/>
              </a:ln>
              <a:effectLst/>
            </c:spPr>
            <c:trendlineType val="linear"/>
            <c:dispRSqr val="1"/>
            <c:dispEq val="1"/>
            <c:trendlineLbl>
              <c:layout>
                <c:manualLayout>
                  <c:x val="-2.2944968417409364E-2"/>
                  <c:y val="-2.6450798523065987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Nickel!$E$4:$E$24</c:f>
              <c:numCache>
                <c:formatCode>General</c:formatCode>
                <c:ptCount val="21"/>
                <c:pt idx="6" formatCode="0.0000">
                  <c:v>1.9E-3</c:v>
                </c:pt>
                <c:pt idx="7" formatCode="0.0000">
                  <c:v>1.9E-3</c:v>
                </c:pt>
                <c:pt idx="8" formatCode="0.0000">
                  <c:v>1.9E-3</c:v>
                </c:pt>
                <c:pt idx="9" formatCode="0.0000">
                  <c:v>1.34</c:v>
                </c:pt>
                <c:pt idx="10" formatCode="0.0000">
                  <c:v>1.34</c:v>
                </c:pt>
                <c:pt idx="11" formatCode="0.0000">
                  <c:v>1.34</c:v>
                </c:pt>
                <c:pt idx="12" formatCode="0.0000">
                  <c:v>8.2799999999999992E-3</c:v>
                </c:pt>
                <c:pt idx="13" formatCode="0.0000">
                  <c:v>8.2799999999999992E-3</c:v>
                </c:pt>
                <c:pt idx="14" formatCode="0.0000">
                  <c:v>8.2799999999999992E-3</c:v>
                </c:pt>
                <c:pt idx="15" formatCode="0.0000">
                  <c:v>3.8E-3</c:v>
                </c:pt>
                <c:pt idx="16" formatCode="0.0000">
                  <c:v>3.8E-3</c:v>
                </c:pt>
                <c:pt idx="17" formatCode="0.0000">
                  <c:v>3.8E-3</c:v>
                </c:pt>
                <c:pt idx="18">
                  <c:v>4.15E-3</c:v>
                </c:pt>
                <c:pt idx="19">
                  <c:v>4.15E-3</c:v>
                </c:pt>
                <c:pt idx="20">
                  <c:v>4.15E-3</c:v>
                </c:pt>
              </c:numCache>
            </c:numRef>
          </c:xVal>
          <c:yVal>
            <c:numRef>
              <c:f>Nickel!$I$4:$I$24</c:f>
              <c:numCache>
                <c:formatCode>0.000</c:formatCode>
                <c:ptCount val="21"/>
                <c:pt idx="0">
                  <c:v>7.5689999999999993E-3</c:v>
                </c:pt>
                <c:pt idx="1">
                  <c:v>6.2529999999999999E-3</c:v>
                </c:pt>
                <c:pt idx="2">
                  <c:v>7.2269999999999999E-3</c:v>
                </c:pt>
                <c:pt idx="3">
                  <c:v>0</c:v>
                </c:pt>
                <c:pt idx="4">
                  <c:v>0</c:v>
                </c:pt>
                <c:pt idx="5">
                  <c:v>0</c:v>
                </c:pt>
                <c:pt idx="6">
                  <c:v>5.0980000000000001E-3</c:v>
                </c:pt>
                <c:pt idx="7">
                  <c:v>4.1960000000000001E-3</c:v>
                </c:pt>
                <c:pt idx="8">
                  <c:v>5.5409999999999999E-3</c:v>
                </c:pt>
                <c:pt idx="9">
                  <c:v>1.1426020000000001</c:v>
                </c:pt>
                <c:pt idx="10">
                  <c:v>1.103307</c:v>
                </c:pt>
                <c:pt idx="11">
                  <c:v>0.98130799999999996</c:v>
                </c:pt>
                <c:pt idx="12">
                  <c:v>1.0886E-2</c:v>
                </c:pt>
                <c:pt idx="13">
                  <c:v>9.356999999999999E-3</c:v>
                </c:pt>
                <c:pt idx="14">
                  <c:v>1.0090999999999999E-2</c:v>
                </c:pt>
                <c:pt idx="15">
                  <c:v>3.2799999999999999E-3</c:v>
                </c:pt>
                <c:pt idx="16">
                  <c:v>4.4600000000000004E-3</c:v>
                </c:pt>
                <c:pt idx="17">
                  <c:v>6.0639999999999999E-3</c:v>
                </c:pt>
                <c:pt idx="18">
                  <c:v>7.7780000000000002E-3</c:v>
                </c:pt>
                <c:pt idx="19">
                  <c:v>4.1590000000000004E-3</c:v>
                </c:pt>
                <c:pt idx="20">
                  <c:v>7.984999999999999E-3</c:v>
                </c:pt>
              </c:numCache>
            </c:numRef>
          </c:yVal>
          <c:smooth val="0"/>
          <c:extLst>
            <c:ext xmlns:c16="http://schemas.microsoft.com/office/drawing/2014/chart" uri="{C3380CC4-5D6E-409C-BE32-E72D297353CC}">
              <c16:uniqueId val="{00000001-623C-804C-A971-E4BF634CF278}"/>
            </c:ext>
          </c:extLst>
        </c:ser>
        <c:dLbls>
          <c:showLegendKey val="0"/>
          <c:showVal val="0"/>
          <c:showCatName val="0"/>
          <c:showSerName val="0"/>
          <c:showPercent val="0"/>
          <c:showBubbleSize val="0"/>
        </c:dLbls>
        <c:axId val="228483024"/>
        <c:axId val="228856112"/>
      </c:scatterChart>
      <c:valAx>
        <c:axId val="2284830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Standard Value (wt.%)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8856112"/>
        <c:crosses val="autoZero"/>
        <c:crossBetween val="midCat"/>
      </c:valAx>
      <c:valAx>
        <c:axId val="2288561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pXRF Reading (wt%)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848302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20.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3.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5.emf"/></Relationships>
</file>

<file path=xl/drawings/_rels/drawing5.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144780</xdr:colOff>
      <xdr:row>26</xdr:row>
      <xdr:rowOff>45720</xdr:rowOff>
    </xdr:to>
    <xdr:pic>
      <xdr:nvPicPr>
        <xdr:cNvPr id="2" name="Picture 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40780" cy="4800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563880</xdr:colOff>
      <xdr:row>3</xdr:row>
      <xdr:rowOff>83820</xdr:rowOff>
    </xdr:from>
    <xdr:to>
      <xdr:col>20</xdr:col>
      <xdr:colOff>15240</xdr:colOff>
      <xdr:row>23</xdr:row>
      <xdr:rowOff>22860</xdr:rowOff>
    </xdr:to>
    <xdr:graphicFrame macro="">
      <xdr:nvGraphicFramePr>
        <xdr:cNvPr id="2" name="Chart 1">
          <a:extLst>
            <a:ext uri="{FF2B5EF4-FFF2-40B4-BE49-F238E27FC236}">
              <a16:creationId xmlns:a16="http://schemas.microsoft.com/office/drawing/2014/main" id="{00000000-0008-0000-1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342900</xdr:colOff>
      <xdr:row>3</xdr:row>
      <xdr:rowOff>38100</xdr:rowOff>
    </xdr:from>
    <xdr:to>
      <xdr:col>22</xdr:col>
      <xdr:colOff>403860</xdr:colOff>
      <xdr:row>22</xdr:row>
      <xdr:rowOff>160020</xdr:rowOff>
    </xdr:to>
    <xdr:graphicFrame macro="">
      <xdr:nvGraphicFramePr>
        <xdr:cNvPr id="2" name="Chart 1">
          <a:extLst>
            <a:ext uri="{FF2B5EF4-FFF2-40B4-BE49-F238E27FC236}">
              <a16:creationId xmlns:a16="http://schemas.microsoft.com/office/drawing/2014/main" id="{00000000-0008-0000-1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563880</xdr:colOff>
      <xdr:row>3</xdr:row>
      <xdr:rowOff>83820</xdr:rowOff>
    </xdr:from>
    <xdr:to>
      <xdr:col>20</xdr:col>
      <xdr:colOff>15240</xdr:colOff>
      <xdr:row>23</xdr:row>
      <xdr:rowOff>22860</xdr:rowOff>
    </xdr:to>
    <xdr:graphicFrame macro="">
      <xdr:nvGraphicFramePr>
        <xdr:cNvPr id="2" name="Chart 1">
          <a:extLst>
            <a:ext uri="{FF2B5EF4-FFF2-40B4-BE49-F238E27FC236}">
              <a16:creationId xmlns:a16="http://schemas.microsoft.com/office/drawing/2014/main" id="{00000000-0008-0000-1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563880</xdr:colOff>
      <xdr:row>3</xdr:row>
      <xdr:rowOff>83820</xdr:rowOff>
    </xdr:from>
    <xdr:to>
      <xdr:col>20</xdr:col>
      <xdr:colOff>15240</xdr:colOff>
      <xdr:row>23</xdr:row>
      <xdr:rowOff>22860</xdr:rowOff>
    </xdr:to>
    <xdr:graphicFrame macro="">
      <xdr:nvGraphicFramePr>
        <xdr:cNvPr id="2" name="Chart 1">
          <a:extLst>
            <a:ext uri="{FF2B5EF4-FFF2-40B4-BE49-F238E27FC236}">
              <a16:creationId xmlns:a16="http://schemas.microsoft.com/office/drawing/2014/main" id="{00000000-0008-0000-1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563880</xdr:colOff>
      <xdr:row>3</xdr:row>
      <xdr:rowOff>83820</xdr:rowOff>
    </xdr:from>
    <xdr:to>
      <xdr:col>20</xdr:col>
      <xdr:colOff>15240</xdr:colOff>
      <xdr:row>23</xdr:row>
      <xdr:rowOff>22860</xdr:rowOff>
    </xdr:to>
    <xdr:graphicFrame macro="">
      <xdr:nvGraphicFramePr>
        <xdr:cNvPr id="2" name="Chart 1">
          <a:extLst>
            <a:ext uri="{FF2B5EF4-FFF2-40B4-BE49-F238E27FC236}">
              <a16:creationId xmlns:a16="http://schemas.microsoft.com/office/drawing/2014/main" id="{00000000-0008-0000-1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563880</xdr:colOff>
      <xdr:row>3</xdr:row>
      <xdr:rowOff>83820</xdr:rowOff>
    </xdr:from>
    <xdr:to>
      <xdr:col>20</xdr:col>
      <xdr:colOff>15240</xdr:colOff>
      <xdr:row>23</xdr:row>
      <xdr:rowOff>22860</xdr:rowOff>
    </xdr:to>
    <xdr:graphicFrame macro="">
      <xdr:nvGraphicFramePr>
        <xdr:cNvPr id="2" name="Chart 1">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563880</xdr:colOff>
      <xdr:row>3</xdr:row>
      <xdr:rowOff>83820</xdr:rowOff>
    </xdr:from>
    <xdr:to>
      <xdr:col>20</xdr:col>
      <xdr:colOff>15240</xdr:colOff>
      <xdr:row>23</xdr:row>
      <xdr:rowOff>22860</xdr:rowOff>
    </xdr:to>
    <xdr:graphicFrame macro="">
      <xdr:nvGraphicFramePr>
        <xdr:cNvPr id="2" name="Chart 1">
          <a:extLst>
            <a:ext uri="{FF2B5EF4-FFF2-40B4-BE49-F238E27FC236}">
              <a16:creationId xmlns:a16="http://schemas.microsoft.com/office/drawing/2014/main" id="{00000000-0008-0000-1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563880</xdr:colOff>
      <xdr:row>3</xdr:row>
      <xdr:rowOff>83820</xdr:rowOff>
    </xdr:from>
    <xdr:to>
      <xdr:col>20</xdr:col>
      <xdr:colOff>15240</xdr:colOff>
      <xdr:row>23</xdr:row>
      <xdr:rowOff>22860</xdr:rowOff>
    </xdr:to>
    <xdr:graphicFrame macro="">
      <xdr:nvGraphicFramePr>
        <xdr:cNvPr id="2" name="Chart 1">
          <a:extLst>
            <a:ext uri="{FF2B5EF4-FFF2-40B4-BE49-F238E27FC236}">
              <a16:creationId xmlns:a16="http://schemas.microsoft.com/office/drawing/2014/main" id="{00000000-0008-0000-1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563880</xdr:colOff>
      <xdr:row>3</xdr:row>
      <xdr:rowOff>83820</xdr:rowOff>
    </xdr:from>
    <xdr:to>
      <xdr:col>20</xdr:col>
      <xdr:colOff>15240</xdr:colOff>
      <xdr:row>23</xdr:row>
      <xdr:rowOff>22860</xdr:rowOff>
    </xdr:to>
    <xdr:graphicFrame macro="">
      <xdr:nvGraphicFramePr>
        <xdr:cNvPr id="2" name="Chart 1">
          <a:extLst>
            <a:ext uri="{FF2B5EF4-FFF2-40B4-BE49-F238E27FC236}">
              <a16:creationId xmlns:a16="http://schemas.microsoft.com/office/drawing/2014/main" id="{00000000-0008-0000-1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563880</xdr:colOff>
      <xdr:row>3</xdr:row>
      <xdr:rowOff>83820</xdr:rowOff>
    </xdr:from>
    <xdr:to>
      <xdr:col>20</xdr:col>
      <xdr:colOff>15240</xdr:colOff>
      <xdr:row>23</xdr:row>
      <xdr:rowOff>22860</xdr:rowOff>
    </xdr:to>
    <xdr:graphicFrame macro="">
      <xdr:nvGraphicFramePr>
        <xdr:cNvPr id="2" name="Chart 1">
          <a:extLst>
            <a:ext uri="{FF2B5EF4-FFF2-40B4-BE49-F238E27FC236}">
              <a16:creationId xmlns:a16="http://schemas.microsoft.com/office/drawing/2014/main" id="{00000000-0008-0000-1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83820</xdr:colOff>
      <xdr:row>29</xdr:row>
      <xdr:rowOff>117478</xdr:rowOff>
    </xdr:to>
    <xdr:pic>
      <xdr:nvPicPr>
        <xdr:cNvPr id="2" name="Picture 1">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131820" cy="54209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563880</xdr:colOff>
      <xdr:row>3</xdr:row>
      <xdr:rowOff>83820</xdr:rowOff>
    </xdr:from>
    <xdr:to>
      <xdr:col>20</xdr:col>
      <xdr:colOff>15240</xdr:colOff>
      <xdr:row>23</xdr:row>
      <xdr:rowOff>22860</xdr:rowOff>
    </xdr:to>
    <xdr:graphicFrame macro="">
      <xdr:nvGraphicFramePr>
        <xdr:cNvPr id="2" name="Chart 1">
          <a:extLst>
            <a:ext uri="{FF2B5EF4-FFF2-40B4-BE49-F238E27FC236}">
              <a16:creationId xmlns:a16="http://schemas.microsoft.com/office/drawing/2014/main" id="{00000000-0008-0000-1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10</xdr:col>
      <xdr:colOff>563880</xdr:colOff>
      <xdr:row>3</xdr:row>
      <xdr:rowOff>83820</xdr:rowOff>
    </xdr:from>
    <xdr:to>
      <xdr:col>20</xdr:col>
      <xdr:colOff>15240</xdr:colOff>
      <xdr:row>23</xdr:row>
      <xdr:rowOff>22860</xdr:rowOff>
    </xdr:to>
    <xdr:graphicFrame macro="">
      <xdr:nvGraphicFramePr>
        <xdr:cNvPr id="2" name="Chart 1">
          <a:extLst>
            <a:ext uri="{FF2B5EF4-FFF2-40B4-BE49-F238E27FC236}">
              <a16:creationId xmlns:a16="http://schemas.microsoft.com/office/drawing/2014/main" id="{00000000-0008-0000-2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10</xdr:col>
      <xdr:colOff>563880</xdr:colOff>
      <xdr:row>3</xdr:row>
      <xdr:rowOff>83820</xdr:rowOff>
    </xdr:from>
    <xdr:to>
      <xdr:col>20</xdr:col>
      <xdr:colOff>15240</xdr:colOff>
      <xdr:row>23</xdr:row>
      <xdr:rowOff>22860</xdr:rowOff>
    </xdr:to>
    <xdr:graphicFrame macro="">
      <xdr:nvGraphicFramePr>
        <xdr:cNvPr id="2" name="Chart 1">
          <a:extLst>
            <a:ext uri="{FF2B5EF4-FFF2-40B4-BE49-F238E27FC236}">
              <a16:creationId xmlns:a16="http://schemas.microsoft.com/office/drawing/2014/main" id="{00000000-0008-0000-2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13</xdr:col>
      <xdr:colOff>381000</xdr:colOff>
      <xdr:row>2</xdr:row>
      <xdr:rowOff>167640</xdr:rowOff>
    </xdr:from>
    <xdr:to>
      <xdr:col>22</xdr:col>
      <xdr:colOff>441960</xdr:colOff>
      <xdr:row>22</xdr:row>
      <xdr:rowOff>106680</xdr:rowOff>
    </xdr:to>
    <xdr:graphicFrame macro="">
      <xdr:nvGraphicFramePr>
        <xdr:cNvPr id="2" name="Chart 1">
          <a:extLst>
            <a:ext uri="{FF2B5EF4-FFF2-40B4-BE49-F238E27FC236}">
              <a16:creationId xmlns:a16="http://schemas.microsoft.com/office/drawing/2014/main" id="{00000000-0008-0000-2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10</xdr:col>
      <xdr:colOff>563880</xdr:colOff>
      <xdr:row>3</xdr:row>
      <xdr:rowOff>83820</xdr:rowOff>
    </xdr:from>
    <xdr:to>
      <xdr:col>20</xdr:col>
      <xdr:colOff>15240</xdr:colOff>
      <xdr:row>23</xdr:row>
      <xdr:rowOff>22860</xdr:rowOff>
    </xdr:to>
    <xdr:graphicFrame macro="">
      <xdr:nvGraphicFramePr>
        <xdr:cNvPr id="2" name="Chart 1">
          <a:extLst>
            <a:ext uri="{FF2B5EF4-FFF2-40B4-BE49-F238E27FC236}">
              <a16:creationId xmlns:a16="http://schemas.microsoft.com/office/drawing/2014/main" id="{00000000-0008-0000-2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10</xdr:col>
      <xdr:colOff>563880</xdr:colOff>
      <xdr:row>3</xdr:row>
      <xdr:rowOff>83820</xdr:rowOff>
    </xdr:from>
    <xdr:to>
      <xdr:col>20</xdr:col>
      <xdr:colOff>15240</xdr:colOff>
      <xdr:row>23</xdr:row>
      <xdr:rowOff>22860</xdr:rowOff>
    </xdr:to>
    <xdr:graphicFrame macro="">
      <xdr:nvGraphicFramePr>
        <xdr:cNvPr id="2" name="Chart 1">
          <a:extLst>
            <a:ext uri="{FF2B5EF4-FFF2-40B4-BE49-F238E27FC236}">
              <a16:creationId xmlns:a16="http://schemas.microsoft.com/office/drawing/2014/main" id="{00000000-0008-0000-2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12</xdr:col>
      <xdr:colOff>160020</xdr:colOff>
      <xdr:row>3</xdr:row>
      <xdr:rowOff>144780</xdr:rowOff>
    </xdr:from>
    <xdr:to>
      <xdr:col>21</xdr:col>
      <xdr:colOff>220980</xdr:colOff>
      <xdr:row>23</xdr:row>
      <xdr:rowOff>83820</xdr:rowOff>
    </xdr:to>
    <xdr:graphicFrame macro="">
      <xdr:nvGraphicFramePr>
        <xdr:cNvPr id="2" name="Chart 1">
          <a:extLst>
            <a:ext uri="{FF2B5EF4-FFF2-40B4-BE49-F238E27FC236}">
              <a16:creationId xmlns:a16="http://schemas.microsoft.com/office/drawing/2014/main" id="{00000000-0008-0000-2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10</xdr:col>
      <xdr:colOff>167640</xdr:colOff>
      <xdr:row>3</xdr:row>
      <xdr:rowOff>129540</xdr:rowOff>
    </xdr:from>
    <xdr:to>
      <xdr:col>19</xdr:col>
      <xdr:colOff>228600</xdr:colOff>
      <xdr:row>23</xdr:row>
      <xdr:rowOff>68580</xdr:rowOff>
    </xdr:to>
    <xdr:graphicFrame macro="">
      <xdr:nvGraphicFramePr>
        <xdr:cNvPr id="2" name="Chart 1">
          <a:extLst>
            <a:ext uri="{FF2B5EF4-FFF2-40B4-BE49-F238E27FC236}">
              <a16:creationId xmlns:a16="http://schemas.microsoft.com/office/drawing/2014/main" id="{00000000-0008-0000-2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327660</xdr:colOff>
      <xdr:row>24</xdr:row>
      <xdr:rowOff>0</xdr:rowOff>
    </xdr:to>
    <xdr:pic>
      <xdr:nvPicPr>
        <xdr:cNvPr id="2" name="Picture 1">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423660" cy="43891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3</xdr:row>
      <xdr:rowOff>0</xdr:rowOff>
    </xdr:from>
    <xdr:to>
      <xdr:col>16</xdr:col>
      <xdr:colOff>297180</xdr:colOff>
      <xdr:row>21</xdr:row>
      <xdr:rowOff>167640</xdr:rowOff>
    </xdr:to>
    <xdr:pic>
      <xdr:nvPicPr>
        <xdr:cNvPr id="3" name="Picture 2">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5600" y="548640"/>
          <a:ext cx="3345180" cy="3459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327660</xdr:colOff>
      <xdr:row>18</xdr:row>
      <xdr:rowOff>167640</xdr:rowOff>
    </xdr:to>
    <xdr:pic>
      <xdr:nvPicPr>
        <xdr:cNvPr id="2" name="Picture 1">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75660" cy="3459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10</xdr:col>
      <xdr:colOff>563880</xdr:colOff>
      <xdr:row>3</xdr:row>
      <xdr:rowOff>83820</xdr:rowOff>
    </xdr:from>
    <xdr:to>
      <xdr:col>20</xdr:col>
      <xdr:colOff>15240</xdr:colOff>
      <xdr:row>23</xdr:row>
      <xdr:rowOff>22860</xdr:rowOff>
    </xdr:to>
    <xdr:graphicFrame macro="">
      <xdr:nvGraphicFramePr>
        <xdr:cNvPr id="2" name="Chart 1">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10</xdr:col>
      <xdr:colOff>563880</xdr:colOff>
      <xdr:row>3</xdr:row>
      <xdr:rowOff>83820</xdr:rowOff>
    </xdr:from>
    <xdr:to>
      <xdr:col>20</xdr:col>
      <xdr:colOff>15240</xdr:colOff>
      <xdr:row>23</xdr:row>
      <xdr:rowOff>22860</xdr:rowOff>
    </xdr:to>
    <xdr:graphicFrame macro="">
      <xdr:nvGraphicFramePr>
        <xdr:cNvPr id="2" name="Chart 1">
          <a:extLst>
            <a:ext uri="{FF2B5EF4-FFF2-40B4-BE49-F238E27FC236}">
              <a16:creationId xmlns:a16="http://schemas.microsoft.com/office/drawing/2014/main" id="{00000000-0008-0000-0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10</xdr:col>
      <xdr:colOff>563880</xdr:colOff>
      <xdr:row>3</xdr:row>
      <xdr:rowOff>83820</xdr:rowOff>
    </xdr:from>
    <xdr:to>
      <xdr:col>20</xdr:col>
      <xdr:colOff>15240</xdr:colOff>
      <xdr:row>23</xdr:row>
      <xdr:rowOff>22860</xdr:rowOff>
    </xdr:to>
    <xdr:graphicFrame macro="">
      <xdr:nvGraphicFramePr>
        <xdr:cNvPr id="2" name="Chart 1">
          <a:extLst>
            <a:ext uri="{FF2B5EF4-FFF2-40B4-BE49-F238E27FC236}">
              <a16:creationId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10</xdr:col>
      <xdr:colOff>563880</xdr:colOff>
      <xdr:row>3</xdr:row>
      <xdr:rowOff>83820</xdr:rowOff>
    </xdr:from>
    <xdr:to>
      <xdr:col>20</xdr:col>
      <xdr:colOff>15240</xdr:colOff>
      <xdr:row>23</xdr:row>
      <xdr:rowOff>22860</xdr:rowOff>
    </xdr:to>
    <xdr:graphicFrame macro="">
      <xdr:nvGraphicFramePr>
        <xdr:cNvPr id="2" name="Chart 1">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10</xdr:col>
      <xdr:colOff>563880</xdr:colOff>
      <xdr:row>3</xdr:row>
      <xdr:rowOff>83820</xdr:rowOff>
    </xdr:from>
    <xdr:to>
      <xdr:col>20</xdr:col>
      <xdr:colOff>15240</xdr:colOff>
      <xdr:row>23</xdr:row>
      <xdr:rowOff>22860</xdr:rowOff>
    </xdr:to>
    <xdr:graphicFrame macro="">
      <xdr:nvGraphicFramePr>
        <xdr:cNvPr id="2" name="Chart 1">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6012D-D1B6-6248-A40D-3B01A7DE0CA9}">
  <dimension ref="A1:BI39"/>
  <sheetViews>
    <sheetView topLeftCell="U1" workbookViewId="0">
      <selection activeCell="A36" sqref="A36:K36"/>
    </sheetView>
  </sheetViews>
  <sheetFormatPr baseColWidth="10" defaultRowHeight="15" x14ac:dyDescent="0.2"/>
  <cols>
    <col min="1" max="1" width="12.33203125" customWidth="1"/>
    <col min="2" max="10" width="10.83203125" style="30"/>
    <col min="11" max="36" width="6.83203125" style="30" customWidth="1"/>
    <col min="37" max="37" width="11.6640625" style="30" customWidth="1"/>
    <col min="38" max="40" width="6.83203125" style="30" customWidth="1"/>
    <col min="41" max="41" width="7.83203125" style="30" customWidth="1"/>
    <col min="42" max="57" width="6.83203125" style="30" customWidth="1"/>
    <col min="58" max="58" width="10" style="30" customWidth="1"/>
    <col min="59" max="59" width="6.83203125" style="30" customWidth="1"/>
    <col min="60" max="61" width="10.83203125" style="30"/>
  </cols>
  <sheetData>
    <row r="1" spans="1:61" x14ac:dyDescent="0.2">
      <c r="A1" s="28"/>
      <c r="B1" s="29" t="s">
        <v>378</v>
      </c>
      <c r="C1" s="29"/>
      <c r="D1" s="29"/>
      <c r="E1" s="29"/>
      <c r="F1" s="29"/>
      <c r="G1" s="29"/>
      <c r="H1" s="29"/>
      <c r="I1" s="29"/>
      <c r="J1" s="29"/>
      <c r="K1" s="29"/>
      <c r="L1" s="29" t="s">
        <v>379</v>
      </c>
      <c r="M1" s="29"/>
      <c r="N1" s="29"/>
      <c r="O1" s="29"/>
      <c r="P1" s="29"/>
      <c r="Q1" s="29" t="s">
        <v>295</v>
      </c>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row>
    <row r="2" spans="1:61" x14ac:dyDescent="0.2">
      <c r="A2" s="28" t="s">
        <v>380</v>
      </c>
      <c r="B2" s="31" t="s">
        <v>194</v>
      </c>
      <c r="C2" s="31"/>
      <c r="D2" s="31"/>
      <c r="E2" s="31"/>
      <c r="F2" s="31"/>
      <c r="G2" s="31"/>
      <c r="H2" s="31"/>
      <c r="I2" s="31"/>
      <c r="J2" s="31"/>
      <c r="K2" s="32" t="s">
        <v>381</v>
      </c>
      <c r="L2" s="38"/>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row>
    <row r="3" spans="1:61" x14ac:dyDescent="0.2">
      <c r="A3" s="28"/>
      <c r="B3" s="29" t="s">
        <v>96</v>
      </c>
      <c r="C3" s="29" t="s">
        <v>92</v>
      </c>
      <c r="D3" s="29" t="s">
        <v>54</v>
      </c>
      <c r="E3" s="29" t="s">
        <v>382</v>
      </c>
      <c r="F3" s="29" t="s">
        <v>100</v>
      </c>
      <c r="G3" s="29" t="s">
        <v>58</v>
      </c>
      <c r="H3" s="29" t="s">
        <v>60</v>
      </c>
      <c r="I3" s="39" t="s">
        <v>148</v>
      </c>
      <c r="J3" s="29" t="s">
        <v>94</v>
      </c>
      <c r="K3" s="29" t="s">
        <v>76</v>
      </c>
      <c r="L3" s="29" t="s">
        <v>32</v>
      </c>
      <c r="M3" s="29" t="s">
        <v>64</v>
      </c>
      <c r="N3" s="29" t="s">
        <v>84</v>
      </c>
      <c r="O3" s="29" t="s">
        <v>74</v>
      </c>
      <c r="P3" s="29" t="s">
        <v>154</v>
      </c>
      <c r="Q3" s="29" t="s">
        <v>44</v>
      </c>
      <c r="R3" s="29" t="s">
        <v>50</v>
      </c>
      <c r="S3" s="29" t="s">
        <v>66</v>
      </c>
      <c r="T3" s="29" t="s">
        <v>40</v>
      </c>
      <c r="U3" s="29" t="s">
        <v>182</v>
      </c>
      <c r="V3" s="29" t="s">
        <v>183</v>
      </c>
      <c r="W3" s="29" t="s">
        <v>155</v>
      </c>
      <c r="X3" s="39" t="s">
        <v>164</v>
      </c>
      <c r="Y3" s="29" t="s">
        <v>156</v>
      </c>
      <c r="Z3" s="29" t="s">
        <v>157</v>
      </c>
      <c r="AA3" s="29" t="s">
        <v>90</v>
      </c>
      <c r="AB3" s="29" t="s">
        <v>383</v>
      </c>
      <c r="AC3" s="29" t="s">
        <v>159</v>
      </c>
      <c r="AD3" s="39" t="s">
        <v>169</v>
      </c>
      <c r="AE3" s="29" t="s">
        <v>163</v>
      </c>
      <c r="AF3" s="29" t="s">
        <v>48</v>
      </c>
      <c r="AG3" s="29" t="s">
        <v>14</v>
      </c>
      <c r="AH3" s="29" t="s">
        <v>82</v>
      </c>
      <c r="AI3" s="29" t="s">
        <v>161</v>
      </c>
      <c r="AJ3" s="29" t="s">
        <v>42</v>
      </c>
      <c r="AK3" s="29" t="s">
        <v>26</v>
      </c>
      <c r="AL3" s="29" t="s">
        <v>165</v>
      </c>
      <c r="AM3" s="29" t="s">
        <v>22</v>
      </c>
      <c r="AN3" s="29" t="s">
        <v>70</v>
      </c>
      <c r="AO3" s="29" t="s">
        <v>62</v>
      </c>
      <c r="AP3" s="29" t="s">
        <v>56</v>
      </c>
      <c r="AQ3" s="29" t="s">
        <v>30</v>
      </c>
      <c r="AR3" s="29" t="s">
        <v>166</v>
      </c>
      <c r="AS3" s="29" t="s">
        <v>72</v>
      </c>
      <c r="AT3" s="29" t="s">
        <v>18</v>
      </c>
      <c r="AU3" s="29" t="s">
        <v>88</v>
      </c>
      <c r="AV3" s="29" t="s">
        <v>168</v>
      </c>
      <c r="AW3" s="29" t="s">
        <v>68</v>
      </c>
      <c r="AX3" s="29" t="s">
        <v>24</v>
      </c>
      <c r="AY3" s="29" t="s">
        <v>184</v>
      </c>
      <c r="AZ3" s="29" t="s">
        <v>170</v>
      </c>
      <c r="BA3" s="29" t="s">
        <v>20</v>
      </c>
      <c r="BB3" s="29" t="s">
        <v>52</v>
      </c>
      <c r="BC3" s="29" t="s">
        <v>38</v>
      </c>
      <c r="BD3" s="29" t="s">
        <v>158</v>
      </c>
      <c r="BE3" s="29" t="s">
        <v>160</v>
      </c>
      <c r="BF3" s="29" t="s">
        <v>384</v>
      </c>
      <c r="BG3" s="29" t="s">
        <v>16</v>
      </c>
      <c r="BI3" s="30" t="s">
        <v>295</v>
      </c>
    </row>
    <row r="4" spans="1:61" x14ac:dyDescent="0.2">
      <c r="A4" s="33" t="s">
        <v>260</v>
      </c>
      <c r="B4" s="29" t="s">
        <v>385</v>
      </c>
      <c r="C4" s="29"/>
      <c r="D4" s="29"/>
      <c r="E4" s="29"/>
      <c r="F4" s="29"/>
      <c r="G4" s="29"/>
      <c r="H4" s="29"/>
      <c r="I4" s="39"/>
      <c r="J4" s="29"/>
      <c r="K4" s="29"/>
      <c r="L4" s="29"/>
      <c r="M4" s="29"/>
      <c r="N4" s="29"/>
      <c r="O4" s="29"/>
      <c r="P4" s="29"/>
      <c r="Q4" s="29"/>
      <c r="R4" s="29"/>
      <c r="S4" s="29"/>
      <c r="T4" s="29"/>
      <c r="U4" s="29"/>
      <c r="V4" s="29"/>
      <c r="W4" s="29"/>
      <c r="X4" s="39"/>
      <c r="Y4" s="29"/>
      <c r="Z4" s="29"/>
      <c r="AA4" s="29"/>
      <c r="AB4" s="29"/>
      <c r="AC4" s="29"/>
      <c r="AD4" s="3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row>
    <row r="5" spans="1:61" x14ac:dyDescent="0.2">
      <c r="A5" s="28" t="s">
        <v>386</v>
      </c>
      <c r="B5" s="34">
        <v>25.3</v>
      </c>
      <c r="C5" s="34">
        <v>7.14</v>
      </c>
      <c r="D5" s="34">
        <v>1.35</v>
      </c>
      <c r="E5" s="34">
        <v>9.65</v>
      </c>
      <c r="F5" s="34">
        <v>2.16</v>
      </c>
      <c r="G5" s="34">
        <v>5.09</v>
      </c>
      <c r="H5" s="34">
        <v>1.49</v>
      </c>
      <c r="I5" s="40">
        <v>2.34</v>
      </c>
      <c r="J5" s="34">
        <v>0.15</v>
      </c>
      <c r="K5" s="29"/>
      <c r="L5" s="29"/>
      <c r="M5" s="29">
        <v>683</v>
      </c>
      <c r="N5" s="29"/>
      <c r="O5" s="29"/>
      <c r="P5" s="29">
        <v>53</v>
      </c>
      <c r="Q5" s="29">
        <v>37</v>
      </c>
      <c r="R5" s="29">
        <v>18</v>
      </c>
      <c r="S5" s="29">
        <v>1.1000000000000001</v>
      </c>
      <c r="T5" s="29">
        <v>19</v>
      </c>
      <c r="U5" s="29"/>
      <c r="V5" s="29"/>
      <c r="W5" s="29">
        <v>2</v>
      </c>
      <c r="X5" s="39">
        <v>440</v>
      </c>
      <c r="Y5" s="29">
        <v>23</v>
      </c>
      <c r="Z5" s="29">
        <v>6.8</v>
      </c>
      <c r="AA5" s="29">
        <v>4.8</v>
      </c>
      <c r="AB5" s="29">
        <v>1.33</v>
      </c>
      <c r="AC5" s="29">
        <v>25</v>
      </c>
      <c r="AD5" s="39">
        <v>9</v>
      </c>
      <c r="AE5" s="29">
        <v>0.51</v>
      </c>
      <c r="AF5" s="29">
        <v>1520</v>
      </c>
      <c r="AG5" s="29">
        <v>2.48</v>
      </c>
      <c r="AH5" s="29"/>
      <c r="AI5" s="29">
        <v>28</v>
      </c>
      <c r="AJ5" s="29"/>
      <c r="AK5" s="29">
        <v>11</v>
      </c>
      <c r="AL5" s="29">
        <v>6.8</v>
      </c>
      <c r="AM5" s="29">
        <v>48</v>
      </c>
      <c r="AN5" s="29"/>
      <c r="AO5" s="29"/>
      <c r="AP5" s="29">
        <v>33</v>
      </c>
      <c r="AQ5" s="29"/>
      <c r="AR5" s="29">
        <v>6.7</v>
      </c>
      <c r="AS5" s="29"/>
      <c r="AT5" s="29">
        <v>346</v>
      </c>
      <c r="AU5" s="29"/>
      <c r="AV5" s="29">
        <v>1.07</v>
      </c>
      <c r="AW5" s="29"/>
      <c r="AX5" s="29">
        <v>6.2</v>
      </c>
      <c r="AY5" s="29"/>
      <c r="AZ5" s="29">
        <v>0.54</v>
      </c>
      <c r="BA5" s="29">
        <v>1.69</v>
      </c>
      <c r="BB5" s="29">
        <v>416</v>
      </c>
      <c r="BC5" s="29"/>
      <c r="BD5" s="29">
        <v>37</v>
      </c>
      <c r="BE5" s="29">
        <v>3.5</v>
      </c>
      <c r="BF5" s="29">
        <v>127</v>
      </c>
      <c r="BG5" s="29">
        <v>188</v>
      </c>
      <c r="BI5" s="30" t="s">
        <v>295</v>
      </c>
    </row>
    <row r="6" spans="1:61" x14ac:dyDescent="0.2">
      <c r="A6" s="28" t="s">
        <v>387</v>
      </c>
      <c r="B6" s="34">
        <v>54.1</v>
      </c>
      <c r="C6" s="34">
        <v>13.5</v>
      </c>
      <c r="D6" s="34">
        <v>2.2599999999999998</v>
      </c>
      <c r="E6" s="34">
        <v>13.8</v>
      </c>
      <c r="F6" s="34">
        <v>3.59</v>
      </c>
      <c r="G6" s="34">
        <v>7.12</v>
      </c>
      <c r="H6" s="34">
        <v>1.79</v>
      </c>
      <c r="I6" s="40">
        <v>3.16</v>
      </c>
      <c r="J6" s="34">
        <v>0.35</v>
      </c>
      <c r="K6" s="29"/>
      <c r="L6" s="29"/>
      <c r="M6" s="29"/>
      <c r="N6" s="29"/>
      <c r="O6" s="29"/>
      <c r="P6" s="29"/>
      <c r="Q6" s="29"/>
      <c r="R6" s="29"/>
      <c r="S6" s="29"/>
      <c r="T6" s="29"/>
      <c r="U6" s="29"/>
      <c r="V6" s="29"/>
      <c r="W6" s="29"/>
      <c r="X6" s="39"/>
      <c r="Y6" s="29"/>
      <c r="Z6" s="29"/>
      <c r="AA6" s="29"/>
      <c r="AB6" s="29"/>
      <c r="AC6" s="29"/>
      <c r="AD6" s="3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row>
    <row r="7" spans="1:61" x14ac:dyDescent="0.2">
      <c r="A7" s="33" t="s">
        <v>259</v>
      </c>
      <c r="B7" s="34" t="s">
        <v>388</v>
      </c>
      <c r="C7" s="34"/>
      <c r="D7" s="34"/>
      <c r="E7" s="34"/>
      <c r="F7" s="34"/>
      <c r="G7" s="34"/>
      <c r="H7" s="34"/>
      <c r="I7" s="40"/>
      <c r="J7" s="34"/>
      <c r="K7" s="29"/>
      <c r="L7" s="29"/>
      <c r="M7" s="29"/>
      <c r="N7" s="29"/>
      <c r="O7" s="29"/>
      <c r="P7" s="29"/>
      <c r="Q7" s="29"/>
      <c r="R7" s="29"/>
      <c r="S7" s="29"/>
      <c r="T7" s="29"/>
      <c r="U7" s="29"/>
      <c r="V7" s="29"/>
      <c r="W7" s="29"/>
      <c r="X7" s="39"/>
      <c r="Y7" s="29"/>
      <c r="Z7" s="29"/>
      <c r="AA7" s="29"/>
      <c r="AB7" s="29"/>
      <c r="AC7" s="29"/>
      <c r="AD7" s="3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row>
    <row r="8" spans="1:61" x14ac:dyDescent="0.2">
      <c r="A8" s="28" t="s">
        <v>386</v>
      </c>
      <c r="B8" s="34">
        <v>31.1</v>
      </c>
      <c r="C8" s="34">
        <v>7.88</v>
      </c>
      <c r="D8" s="34">
        <v>0.4</v>
      </c>
      <c r="E8" s="34">
        <v>3.43</v>
      </c>
      <c r="F8" s="34">
        <v>0.57999999999999996</v>
      </c>
      <c r="G8" s="34">
        <v>1.5</v>
      </c>
      <c r="H8" s="34">
        <v>4.4800000000000004</v>
      </c>
      <c r="I8" s="40">
        <v>2.06</v>
      </c>
      <c r="J8" s="34">
        <v>0.13</v>
      </c>
      <c r="K8" s="29"/>
      <c r="L8" s="29"/>
      <c r="M8" s="29">
        <v>1340</v>
      </c>
      <c r="N8" s="29"/>
      <c r="O8" s="29"/>
      <c r="P8" s="29">
        <v>410</v>
      </c>
      <c r="Q8" s="29">
        <v>7.3</v>
      </c>
      <c r="R8" s="29">
        <v>20</v>
      </c>
      <c r="S8" s="29">
        <v>1.2</v>
      </c>
      <c r="T8" s="29">
        <v>43</v>
      </c>
      <c r="U8" s="29">
        <v>6.1</v>
      </c>
      <c r="V8" s="29">
        <v>2.2000000000000002</v>
      </c>
      <c r="W8" s="29">
        <v>2.2999999999999998</v>
      </c>
      <c r="X8" s="39">
        <v>3000</v>
      </c>
      <c r="Y8" s="29">
        <v>22</v>
      </c>
      <c r="Z8" s="29">
        <v>12</v>
      </c>
      <c r="AA8" s="29">
        <v>14</v>
      </c>
      <c r="AB8" s="29">
        <v>1</v>
      </c>
      <c r="AC8" s="29">
        <v>180</v>
      </c>
      <c r="AD8" s="39">
        <v>36</v>
      </c>
      <c r="AE8" s="29">
        <v>0.23</v>
      </c>
      <c r="AF8" s="29">
        <v>320</v>
      </c>
      <c r="AG8" s="29">
        <v>2.1</v>
      </c>
      <c r="AH8" s="29">
        <v>27</v>
      </c>
      <c r="AI8" s="29">
        <v>200</v>
      </c>
      <c r="AJ8" s="29">
        <v>17</v>
      </c>
      <c r="AK8" s="29">
        <v>42</v>
      </c>
      <c r="AL8" s="29">
        <v>51</v>
      </c>
      <c r="AM8" s="29">
        <v>245</v>
      </c>
      <c r="AN8" s="29"/>
      <c r="AO8" s="29"/>
      <c r="AP8" s="29">
        <v>6.3</v>
      </c>
      <c r="AQ8" s="29"/>
      <c r="AR8" s="29">
        <v>27</v>
      </c>
      <c r="AS8" s="29"/>
      <c r="AT8" s="29">
        <v>240</v>
      </c>
      <c r="AU8" s="29"/>
      <c r="AV8" s="29"/>
      <c r="AW8" s="29"/>
      <c r="AX8" s="29">
        <v>105</v>
      </c>
      <c r="AY8" s="29">
        <v>1.1000000000000001</v>
      </c>
      <c r="AZ8" s="29">
        <v>0.28999999999999998</v>
      </c>
      <c r="BA8" s="29">
        <v>2.4</v>
      </c>
      <c r="BB8" s="29">
        <v>52</v>
      </c>
      <c r="BC8" s="29"/>
      <c r="BD8" s="29">
        <v>28</v>
      </c>
      <c r="BE8" s="29">
        <v>1.6</v>
      </c>
      <c r="BF8" s="29">
        <v>120</v>
      </c>
      <c r="BG8" s="29">
        <v>550</v>
      </c>
      <c r="BI8" s="30" t="s">
        <v>295</v>
      </c>
    </row>
    <row r="9" spans="1:61" x14ac:dyDescent="0.2">
      <c r="A9" s="28" t="s">
        <v>387</v>
      </c>
      <c r="B9" s="34">
        <v>66.599999999999994</v>
      </c>
      <c r="C9" s="34">
        <v>14.9</v>
      </c>
      <c r="D9" s="34">
        <v>0.66</v>
      </c>
      <c r="E9" s="34">
        <v>4.9000000000000004</v>
      </c>
      <c r="F9" s="34">
        <v>0.96</v>
      </c>
      <c r="G9" s="34">
        <v>2.1</v>
      </c>
      <c r="H9" s="34">
        <v>5.38</v>
      </c>
      <c r="I9" s="40">
        <v>2.78</v>
      </c>
      <c r="J9" s="34">
        <v>0.28999999999999998</v>
      </c>
      <c r="K9" s="29"/>
      <c r="L9" s="29"/>
      <c r="M9" s="29"/>
      <c r="N9" s="29"/>
      <c r="O9" s="29"/>
      <c r="P9" s="29"/>
      <c r="Q9" s="29"/>
      <c r="R9" s="29"/>
      <c r="S9" s="29"/>
      <c r="T9" s="29"/>
      <c r="U9" s="29"/>
      <c r="V9" s="29"/>
      <c r="W9" s="29"/>
      <c r="X9" s="39"/>
      <c r="Y9" s="29"/>
      <c r="Z9" s="29"/>
      <c r="AA9" s="29"/>
      <c r="AB9" s="29"/>
      <c r="AC9" s="29"/>
      <c r="AD9" s="3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row>
    <row r="10" spans="1:61" x14ac:dyDescent="0.2">
      <c r="A10" s="33" t="s">
        <v>113</v>
      </c>
      <c r="B10" s="34" t="s">
        <v>389</v>
      </c>
      <c r="C10" s="34"/>
      <c r="D10" s="34"/>
      <c r="E10" s="34"/>
      <c r="F10" s="34"/>
      <c r="G10" s="34"/>
      <c r="H10" s="34"/>
      <c r="I10" s="40"/>
      <c r="J10" s="34"/>
      <c r="K10" s="29"/>
      <c r="L10" s="29"/>
      <c r="M10" s="29"/>
      <c r="N10" s="29"/>
      <c r="O10" s="29"/>
      <c r="P10" s="29"/>
      <c r="Q10" s="29"/>
      <c r="R10" s="29"/>
      <c r="S10" s="29"/>
      <c r="T10" s="29"/>
      <c r="U10" s="29"/>
      <c r="V10" s="29"/>
      <c r="W10" s="29"/>
      <c r="X10" s="39"/>
      <c r="Y10" s="29"/>
      <c r="Z10" s="29"/>
      <c r="AA10" s="29"/>
      <c r="AB10" s="29"/>
      <c r="AC10" s="29"/>
      <c r="AD10" s="3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row>
    <row r="11" spans="1:61" x14ac:dyDescent="0.2">
      <c r="A11" s="28" t="s">
        <v>386</v>
      </c>
      <c r="B11" s="34">
        <v>27.7</v>
      </c>
      <c r="C11" s="34">
        <v>8.9499999999999993</v>
      </c>
      <c r="D11" s="34">
        <v>0.63</v>
      </c>
      <c r="E11" s="34">
        <v>4.68</v>
      </c>
      <c r="F11" s="34">
        <v>1.08</v>
      </c>
      <c r="G11" s="34">
        <v>3.72</v>
      </c>
      <c r="H11" s="34">
        <v>2.39</v>
      </c>
      <c r="I11" s="40">
        <v>3.11</v>
      </c>
      <c r="J11" s="34">
        <v>0.21</v>
      </c>
      <c r="K11" s="29"/>
      <c r="L11" s="29"/>
      <c r="M11" s="29">
        <v>1140</v>
      </c>
      <c r="N11" s="29"/>
      <c r="O11" s="29"/>
      <c r="P11" s="29">
        <v>68</v>
      </c>
      <c r="Q11" s="29">
        <v>16</v>
      </c>
      <c r="R11" s="29">
        <v>17</v>
      </c>
      <c r="S11" s="29">
        <v>1.1599999999999999</v>
      </c>
      <c r="T11" s="29">
        <v>53</v>
      </c>
      <c r="U11" s="29">
        <v>3.6</v>
      </c>
      <c r="V11" s="29">
        <v>1.79</v>
      </c>
      <c r="W11" s="29">
        <v>1.54</v>
      </c>
      <c r="X11" s="39">
        <v>440</v>
      </c>
      <c r="Y11" s="29">
        <v>20</v>
      </c>
      <c r="Z11" s="29">
        <v>4.6900000000000004</v>
      </c>
      <c r="AA11" s="29">
        <v>5.08</v>
      </c>
      <c r="AB11" s="29">
        <v>0.71</v>
      </c>
      <c r="AC11" s="29">
        <v>38</v>
      </c>
      <c r="AD11" s="39">
        <v>11</v>
      </c>
      <c r="AE11" s="29">
        <v>0.25</v>
      </c>
      <c r="AF11" s="29">
        <v>770</v>
      </c>
      <c r="AG11" s="29"/>
      <c r="AH11" s="29">
        <v>15</v>
      </c>
      <c r="AI11" s="29">
        <v>30</v>
      </c>
      <c r="AJ11" s="29">
        <v>19</v>
      </c>
      <c r="AK11" s="29">
        <v>13</v>
      </c>
      <c r="AL11" s="29">
        <v>8.3000000000000007</v>
      </c>
      <c r="AM11" s="29">
        <v>68.599999999999994</v>
      </c>
      <c r="AN11" s="29">
        <v>0.6</v>
      </c>
      <c r="AO11" s="29"/>
      <c r="AP11" s="29">
        <v>13</v>
      </c>
      <c r="AQ11" s="29"/>
      <c r="AR11" s="29">
        <v>5.7</v>
      </c>
      <c r="AS11" s="29">
        <v>2.34</v>
      </c>
      <c r="AT11" s="29">
        <v>658</v>
      </c>
      <c r="AU11" s="29">
        <v>0.89</v>
      </c>
      <c r="AV11" s="29">
        <v>0.64</v>
      </c>
      <c r="AW11" s="29"/>
      <c r="AX11" s="29">
        <v>6.1</v>
      </c>
      <c r="AY11" s="29">
        <v>0.27</v>
      </c>
      <c r="AZ11" s="29">
        <v>0.26</v>
      </c>
      <c r="BA11" s="29">
        <v>1.88</v>
      </c>
      <c r="BB11" s="29">
        <v>120</v>
      </c>
      <c r="BC11" s="29"/>
      <c r="BD11" s="29">
        <v>20</v>
      </c>
      <c r="BE11" s="29">
        <v>1.6</v>
      </c>
      <c r="BF11" s="29">
        <v>86</v>
      </c>
      <c r="BG11" s="29">
        <v>230</v>
      </c>
    </row>
    <row r="12" spans="1:61" x14ac:dyDescent="0.2">
      <c r="A12" s="28" t="s">
        <v>387</v>
      </c>
      <c r="B12" s="34">
        <v>59.3</v>
      </c>
      <c r="C12" s="34">
        <v>16.91</v>
      </c>
      <c r="D12" s="34">
        <v>1.05</v>
      </c>
      <c r="E12" s="34">
        <v>6.69</v>
      </c>
      <c r="F12" s="34">
        <v>1.79</v>
      </c>
      <c r="G12" s="34">
        <v>5.2</v>
      </c>
      <c r="H12" s="34">
        <v>2.88</v>
      </c>
      <c r="I12" s="40">
        <v>4.1900000000000004</v>
      </c>
      <c r="J12" s="34">
        <v>0.48</v>
      </c>
      <c r="K12" s="29"/>
      <c r="L12" s="29"/>
      <c r="M12" s="29"/>
      <c r="N12" s="29"/>
      <c r="O12" s="29"/>
      <c r="P12" s="29"/>
      <c r="Q12" s="29"/>
      <c r="R12" s="29"/>
      <c r="S12" s="29"/>
      <c r="T12" s="29"/>
      <c r="U12" s="29"/>
      <c r="V12" s="29"/>
      <c r="W12" s="29"/>
      <c r="X12" s="39"/>
      <c r="Y12" s="29"/>
      <c r="Z12" s="29"/>
      <c r="AA12" s="29"/>
      <c r="AB12" s="29"/>
      <c r="AC12" s="29"/>
      <c r="AD12" s="3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row>
    <row r="13" spans="1:61" x14ac:dyDescent="0.2">
      <c r="A13" s="33" t="s">
        <v>255</v>
      </c>
      <c r="B13" s="34" t="s">
        <v>390</v>
      </c>
      <c r="C13" s="34"/>
      <c r="D13" s="34"/>
      <c r="E13" s="34"/>
      <c r="F13" s="34"/>
      <c r="G13" s="34"/>
      <c r="H13" s="34"/>
      <c r="I13" s="40"/>
      <c r="J13" s="34"/>
      <c r="K13" s="29"/>
      <c r="L13" s="29"/>
      <c r="M13" s="29"/>
      <c r="N13" s="29"/>
      <c r="O13" s="29"/>
      <c r="P13" s="29"/>
      <c r="Q13" s="29"/>
      <c r="R13" s="29"/>
      <c r="S13" s="29"/>
      <c r="T13" s="29"/>
      <c r="U13" s="29"/>
      <c r="V13" s="29"/>
      <c r="W13" s="29"/>
      <c r="X13" s="39"/>
      <c r="Y13" s="29"/>
      <c r="Z13" s="29"/>
      <c r="AA13" s="29"/>
      <c r="AB13" s="29"/>
      <c r="AC13" s="29"/>
      <c r="AD13" s="3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row>
    <row r="14" spans="1:61" x14ac:dyDescent="0.2">
      <c r="A14" s="28" t="s">
        <v>386</v>
      </c>
      <c r="B14" s="34"/>
      <c r="C14" s="34"/>
      <c r="D14" s="34"/>
      <c r="E14" s="34"/>
      <c r="F14" s="34"/>
      <c r="G14" s="34"/>
      <c r="H14" s="34"/>
      <c r="I14" s="40"/>
      <c r="J14" s="34"/>
      <c r="K14" s="29"/>
      <c r="L14" s="29">
        <v>25.7</v>
      </c>
      <c r="M14" s="29">
        <v>788</v>
      </c>
      <c r="N14" s="29">
        <v>0.7</v>
      </c>
      <c r="O14" s="29">
        <v>0.4</v>
      </c>
      <c r="P14" s="29">
        <v>108</v>
      </c>
      <c r="Q14" s="29">
        <v>22.7</v>
      </c>
      <c r="R14" s="29">
        <v>109</v>
      </c>
      <c r="S14" s="29">
        <v>8.1999999999999993</v>
      </c>
      <c r="T14" s="29">
        <v>31</v>
      </c>
      <c r="U14" s="29">
        <v>7.1</v>
      </c>
      <c r="V14" s="29">
        <v>3.8</v>
      </c>
      <c r="W14" s="29">
        <v>1.98</v>
      </c>
      <c r="X14" s="39"/>
      <c r="Y14" s="29">
        <v>27</v>
      </c>
      <c r="Z14" s="29">
        <v>8.5</v>
      </c>
      <c r="AA14" s="29">
        <v>3.7</v>
      </c>
      <c r="AB14" s="29">
        <v>1.4</v>
      </c>
      <c r="AC14" s="29">
        <v>52.5</v>
      </c>
      <c r="AD14" s="39">
        <v>163</v>
      </c>
      <c r="AE14" s="29">
        <v>0.54</v>
      </c>
      <c r="AF14" s="29">
        <f>0.15*10000</f>
        <v>1500</v>
      </c>
      <c r="AG14" s="29">
        <v>2.4</v>
      </c>
      <c r="AH14" s="29">
        <v>15.3</v>
      </c>
      <c r="AI14" s="29">
        <v>49.2</v>
      </c>
      <c r="AJ14" s="29">
        <v>82.8</v>
      </c>
      <c r="AK14" s="29">
        <v>35</v>
      </c>
      <c r="AL14" s="29">
        <v>12.6</v>
      </c>
      <c r="AM14" s="29">
        <v>147</v>
      </c>
      <c r="AN14" s="29">
        <v>1.01</v>
      </c>
      <c r="AO14" s="29">
        <f>0.715*10000</f>
        <v>7150</v>
      </c>
      <c r="AP14" s="29">
        <v>20</v>
      </c>
      <c r="AQ14" s="29"/>
      <c r="AR14" s="29">
        <v>9.6</v>
      </c>
      <c r="AS14" s="29">
        <v>3.3</v>
      </c>
      <c r="AT14" s="29">
        <v>178</v>
      </c>
      <c r="AU14" s="29">
        <v>1.1000000000000001</v>
      </c>
      <c r="AV14" s="29">
        <v>1.2</v>
      </c>
      <c r="AW14" s="29"/>
      <c r="AX14" s="29">
        <v>15.8</v>
      </c>
      <c r="AY14" s="29">
        <v>0.89</v>
      </c>
      <c r="AZ14" s="29">
        <v>0.56000000000000005</v>
      </c>
      <c r="BA14" s="29">
        <v>5.76</v>
      </c>
      <c r="BB14" s="29">
        <v>220</v>
      </c>
      <c r="BC14" s="29">
        <v>1.6</v>
      </c>
      <c r="BD14" s="29">
        <v>36.5</v>
      </c>
      <c r="BE14" s="29">
        <v>3.64</v>
      </c>
      <c r="BF14" s="29">
        <v>186</v>
      </c>
      <c r="BG14" s="29">
        <v>134</v>
      </c>
    </row>
    <row r="15" spans="1:61" x14ac:dyDescent="0.2">
      <c r="A15" s="28" t="s">
        <v>387</v>
      </c>
      <c r="B15" s="34">
        <v>47.64</v>
      </c>
      <c r="C15" s="34">
        <v>21</v>
      </c>
      <c r="D15" s="34">
        <v>0.85499999999999998</v>
      </c>
      <c r="E15" s="34">
        <v>9.7100000000000009</v>
      </c>
      <c r="F15" s="34">
        <v>2.6</v>
      </c>
      <c r="G15" s="34">
        <v>2.95</v>
      </c>
      <c r="H15" s="34">
        <v>3.45</v>
      </c>
      <c r="I15" s="40">
        <v>0.15</v>
      </c>
      <c r="J15" s="34">
        <v>0.37</v>
      </c>
      <c r="K15" s="29"/>
      <c r="L15" s="29"/>
      <c r="M15" s="29"/>
      <c r="N15" s="29"/>
      <c r="O15" s="29"/>
      <c r="P15" s="29"/>
      <c r="Q15" s="29"/>
      <c r="R15" s="29"/>
      <c r="S15" s="29"/>
      <c r="T15" s="29"/>
      <c r="U15" s="29"/>
      <c r="V15" s="29"/>
      <c r="W15" s="29"/>
      <c r="X15" s="39"/>
      <c r="Y15" s="29"/>
      <c r="Z15" s="29"/>
      <c r="AA15" s="29"/>
      <c r="AB15" s="29"/>
      <c r="AC15" s="29"/>
      <c r="AD15" s="39"/>
      <c r="AE15" s="29"/>
      <c r="AG15" s="29"/>
      <c r="AH15" s="29"/>
      <c r="AI15" s="29"/>
      <c r="AJ15" s="29"/>
      <c r="AK15" s="29"/>
      <c r="AL15" s="29"/>
      <c r="AM15" s="29"/>
      <c r="AN15" s="29"/>
      <c r="AP15" s="29"/>
      <c r="AQ15" s="29"/>
      <c r="AR15" s="29"/>
      <c r="AS15" s="29"/>
      <c r="AT15" s="29"/>
      <c r="AU15" s="29"/>
      <c r="AV15" s="29"/>
      <c r="AW15" s="29"/>
      <c r="AX15" s="29"/>
      <c r="AY15" s="29"/>
      <c r="AZ15" s="29"/>
      <c r="BA15" s="29"/>
      <c r="BB15" s="29"/>
      <c r="BC15" s="29"/>
      <c r="BD15" s="29"/>
      <c r="BE15" s="29"/>
      <c r="BF15" s="29"/>
      <c r="BG15" s="29"/>
    </row>
    <row r="16" spans="1:61" x14ac:dyDescent="0.2">
      <c r="A16" s="33" t="s">
        <v>256</v>
      </c>
      <c r="B16" s="34" t="s">
        <v>391</v>
      </c>
      <c r="C16" s="34"/>
      <c r="D16" s="34"/>
      <c r="E16" s="34"/>
      <c r="F16" s="34"/>
      <c r="G16" s="34"/>
      <c r="H16" s="34"/>
      <c r="I16" s="40"/>
      <c r="J16" s="34"/>
      <c r="K16" s="29"/>
      <c r="L16" s="29"/>
      <c r="M16" s="29"/>
      <c r="N16" s="29"/>
      <c r="O16" s="29"/>
      <c r="P16" s="29"/>
      <c r="Q16" s="29"/>
      <c r="R16" s="29"/>
      <c r="S16" s="29"/>
      <c r="T16" s="29"/>
      <c r="U16" s="29"/>
      <c r="V16" s="29"/>
      <c r="W16" s="29"/>
      <c r="X16" s="39"/>
      <c r="Y16" s="29"/>
      <c r="Z16" s="29"/>
      <c r="AA16" s="29"/>
      <c r="AB16" s="29"/>
      <c r="AC16" s="29"/>
      <c r="AD16" s="3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row>
    <row r="17" spans="1:59" x14ac:dyDescent="0.2">
      <c r="A17" s="28" t="s">
        <v>386</v>
      </c>
      <c r="B17" s="34"/>
      <c r="C17" s="34"/>
      <c r="D17" s="34"/>
      <c r="E17" s="34"/>
      <c r="F17" s="34"/>
      <c r="G17" s="34"/>
      <c r="H17" s="34"/>
      <c r="I17" s="40"/>
      <c r="J17" s="34"/>
      <c r="K17" s="29"/>
      <c r="L17" s="29"/>
      <c r="M17" s="29">
        <v>3350</v>
      </c>
      <c r="N17" s="29"/>
      <c r="O17" s="29"/>
      <c r="P17" s="29">
        <v>290</v>
      </c>
      <c r="Q17" s="29">
        <v>2240</v>
      </c>
      <c r="R17" s="29"/>
      <c r="S17" s="29"/>
      <c r="T17" s="29">
        <v>11500</v>
      </c>
      <c r="U17" s="29">
        <v>27</v>
      </c>
      <c r="V17" s="29">
        <v>12</v>
      </c>
      <c r="W17" s="29">
        <v>7.5</v>
      </c>
      <c r="X17" s="39"/>
      <c r="Y17" s="29"/>
      <c r="Z17" s="29">
        <v>28</v>
      </c>
      <c r="AA17" s="29"/>
      <c r="AB17" s="29"/>
      <c r="AC17" s="29">
        <v>104</v>
      </c>
      <c r="AD17" s="39"/>
      <c r="AE17" s="29">
        <v>1.8</v>
      </c>
      <c r="AF17" s="29">
        <f>37.6*10000</f>
        <v>376000</v>
      </c>
      <c r="AG17" s="29">
        <v>760</v>
      </c>
      <c r="AH17" s="29"/>
      <c r="AI17" s="29">
        <v>120</v>
      </c>
      <c r="AJ17" s="29">
        <v>13400</v>
      </c>
      <c r="AK17" s="29">
        <v>560</v>
      </c>
      <c r="AL17" s="29"/>
      <c r="AM17" s="29"/>
      <c r="AN17" s="29"/>
      <c r="AO17" s="29"/>
      <c r="AP17" s="29"/>
      <c r="AQ17" s="29"/>
      <c r="AR17" s="29">
        <v>30</v>
      </c>
      <c r="AS17" s="29"/>
      <c r="AT17" s="29">
        <v>680</v>
      </c>
      <c r="AU17" s="29"/>
      <c r="AV17" s="29"/>
      <c r="AW17" s="29"/>
      <c r="AX17" s="29"/>
      <c r="AY17" s="29"/>
      <c r="AZ17" s="29"/>
      <c r="BA17" s="29"/>
      <c r="BB17" s="29">
        <v>570</v>
      </c>
      <c r="BC17" s="29"/>
      <c r="BD17" s="29"/>
      <c r="BE17" s="29">
        <v>13</v>
      </c>
      <c r="BF17" s="29">
        <v>1600</v>
      </c>
      <c r="BG17" s="29"/>
    </row>
    <row r="18" spans="1:59" x14ac:dyDescent="0.2">
      <c r="A18" s="28" t="s">
        <v>387</v>
      </c>
      <c r="B18" s="34">
        <v>13.9</v>
      </c>
      <c r="C18" s="34">
        <v>4.8</v>
      </c>
      <c r="D18" s="34">
        <v>0.5</v>
      </c>
      <c r="E18" s="34">
        <v>8.3000000000000007</v>
      </c>
      <c r="F18" s="34">
        <v>3.3</v>
      </c>
      <c r="G18" s="34">
        <v>3.1</v>
      </c>
      <c r="H18" s="34">
        <v>1.2</v>
      </c>
      <c r="I18" s="40">
        <v>2.2000000000000002</v>
      </c>
      <c r="J18" s="34">
        <v>0.46</v>
      </c>
      <c r="K18" s="29"/>
      <c r="L18" s="29"/>
      <c r="M18" s="29"/>
      <c r="N18" s="29"/>
      <c r="O18" s="29"/>
      <c r="P18" s="29"/>
      <c r="Q18" s="29"/>
      <c r="R18" s="29"/>
      <c r="S18" s="29"/>
      <c r="T18" s="29"/>
      <c r="U18" s="29"/>
      <c r="V18" s="29"/>
      <c r="W18" s="29"/>
      <c r="X18" s="39"/>
      <c r="Y18" s="29"/>
      <c r="Z18" s="29"/>
      <c r="AA18" s="29"/>
      <c r="AB18" s="29"/>
      <c r="AC18" s="29"/>
      <c r="AD18" s="39"/>
      <c r="AE18" s="29"/>
      <c r="AG18" s="29"/>
      <c r="AH18" s="29"/>
      <c r="AI18" s="29"/>
      <c r="AJ18" s="29"/>
      <c r="AK18" s="29"/>
      <c r="AL18" s="29"/>
      <c r="AM18" s="29"/>
      <c r="AN18" s="29"/>
      <c r="AO18" s="29"/>
      <c r="AP18" s="29"/>
      <c r="AQ18" s="29"/>
      <c r="AR18" s="29"/>
      <c r="AS18" s="29"/>
      <c r="AT18" s="29"/>
      <c r="AU18" s="29"/>
      <c r="AV18" s="29"/>
      <c r="AW18" s="29"/>
      <c r="AX18" s="29"/>
      <c r="AY18" s="29"/>
      <c r="AZ18" s="29"/>
      <c r="BA18" s="29"/>
      <c r="BB18" s="29"/>
      <c r="BC18" s="29"/>
      <c r="BD18" s="29"/>
      <c r="BE18" s="29"/>
      <c r="BF18" s="29"/>
      <c r="BG18" s="29"/>
    </row>
    <row r="19" spans="1:59" x14ac:dyDescent="0.2">
      <c r="A19" s="33" t="s">
        <v>392</v>
      </c>
      <c r="B19" s="34" t="s">
        <v>393</v>
      </c>
      <c r="C19" s="34"/>
      <c r="D19" s="34"/>
      <c r="E19" s="34"/>
      <c r="F19" s="34"/>
      <c r="G19" s="34"/>
      <c r="H19" s="34"/>
      <c r="I19" s="40"/>
      <c r="J19" s="34"/>
      <c r="K19" s="29"/>
      <c r="L19" s="29"/>
      <c r="M19" s="29"/>
      <c r="N19" s="29"/>
      <c r="O19" s="29"/>
      <c r="P19" s="29"/>
      <c r="Q19" s="29"/>
      <c r="R19" s="29"/>
      <c r="S19" s="29"/>
      <c r="T19" s="29"/>
      <c r="U19" s="29"/>
      <c r="V19" s="29"/>
      <c r="W19" s="29"/>
      <c r="X19" s="39"/>
      <c r="Y19" s="29"/>
      <c r="Z19" s="29"/>
      <c r="AA19" s="29"/>
      <c r="AB19" s="29"/>
      <c r="AC19" s="29"/>
      <c r="AD19" s="3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row>
    <row r="20" spans="1:59" x14ac:dyDescent="0.2">
      <c r="A20" s="28" t="s">
        <v>386</v>
      </c>
      <c r="B20" s="34">
        <v>30.75</v>
      </c>
      <c r="C20" s="34">
        <v>8.36</v>
      </c>
      <c r="D20" s="34">
        <v>0.61</v>
      </c>
      <c r="E20" s="34">
        <v>4.42</v>
      </c>
      <c r="F20" s="34">
        <v>1.02</v>
      </c>
      <c r="G20" s="34">
        <v>1</v>
      </c>
      <c r="H20" s="34">
        <v>2.72</v>
      </c>
      <c r="I20" s="40" t="s">
        <v>394</v>
      </c>
      <c r="J20" s="34">
        <v>7.0000000000000007E-2</v>
      </c>
      <c r="K20" s="29"/>
      <c r="L20" s="29">
        <v>0.22</v>
      </c>
      <c r="M20" s="29">
        <v>630</v>
      </c>
      <c r="N20" s="29"/>
      <c r="O20" s="29"/>
      <c r="P20" s="29">
        <v>93</v>
      </c>
      <c r="Q20" s="29">
        <v>18</v>
      </c>
      <c r="R20" s="29">
        <v>64</v>
      </c>
      <c r="S20" s="29">
        <v>4</v>
      </c>
      <c r="T20" s="29">
        <v>30</v>
      </c>
      <c r="U20" s="29">
        <v>6.7</v>
      </c>
      <c r="V20" s="29">
        <v>4.0999999999999996</v>
      </c>
      <c r="W20" s="29">
        <v>1.7</v>
      </c>
      <c r="X20" s="39">
        <v>600</v>
      </c>
      <c r="Y20" s="29">
        <v>21</v>
      </c>
      <c r="Z20" s="29">
        <v>7</v>
      </c>
      <c r="AA20" s="29">
        <v>8.3000000000000007</v>
      </c>
      <c r="AB20" s="29">
        <v>1.5</v>
      </c>
      <c r="AC20" s="29">
        <v>42</v>
      </c>
      <c r="AD20" s="39"/>
      <c r="AE20" s="29"/>
      <c r="AF20" s="29">
        <v>880</v>
      </c>
      <c r="AG20" s="29"/>
      <c r="AH20" s="29">
        <v>21</v>
      </c>
      <c r="AI20" s="29">
        <v>40</v>
      </c>
      <c r="AJ20" s="29">
        <v>38</v>
      </c>
      <c r="AK20" s="29">
        <v>25</v>
      </c>
      <c r="AL20" s="29"/>
      <c r="AM20" s="29">
        <v>127</v>
      </c>
      <c r="AN20" s="29"/>
      <c r="AO20" s="29"/>
      <c r="AP20" s="29">
        <v>17</v>
      </c>
      <c r="AQ20" s="29"/>
      <c r="AR20" s="29">
        <v>8.1999999999999993</v>
      </c>
      <c r="AS20" s="29">
        <v>3</v>
      </c>
      <c r="AT20" s="29">
        <v>180</v>
      </c>
      <c r="AU20" s="29">
        <v>1.2</v>
      </c>
      <c r="AV20" s="29">
        <v>1.2</v>
      </c>
      <c r="AW20" s="29"/>
      <c r="AX20" s="29">
        <v>12</v>
      </c>
      <c r="AY20" s="29">
        <v>0.7</v>
      </c>
      <c r="AZ20" s="29">
        <v>0.65</v>
      </c>
      <c r="BA20" s="29">
        <v>3.1</v>
      </c>
      <c r="BB20" s="29">
        <v>102</v>
      </c>
      <c r="BC20" s="29">
        <v>0.8</v>
      </c>
      <c r="BD20" s="29"/>
      <c r="BE20" s="29">
        <v>4</v>
      </c>
      <c r="BF20" s="29">
        <v>103</v>
      </c>
      <c r="BG20" s="29">
        <v>290</v>
      </c>
    </row>
    <row r="21" spans="1:59" x14ac:dyDescent="0.2">
      <c r="A21" s="28" t="s">
        <v>387</v>
      </c>
      <c r="B21" s="34">
        <v>65.8</v>
      </c>
      <c r="C21" s="34">
        <v>15.8</v>
      </c>
      <c r="D21" s="34">
        <v>1.01</v>
      </c>
      <c r="E21" s="34">
        <v>6.32</v>
      </c>
      <c r="F21" s="34">
        <v>1.69</v>
      </c>
      <c r="G21" s="34">
        <v>1.4</v>
      </c>
      <c r="H21" s="34">
        <v>3.28</v>
      </c>
      <c r="I21" s="40">
        <v>2.0499999999999998</v>
      </c>
      <c r="J21" s="34">
        <v>0.16</v>
      </c>
      <c r="K21" s="29"/>
      <c r="L21" s="29"/>
      <c r="M21" s="29"/>
      <c r="N21" s="29"/>
      <c r="O21" s="29"/>
      <c r="P21" s="29"/>
      <c r="Q21" s="29"/>
      <c r="R21" s="29"/>
      <c r="S21" s="29"/>
      <c r="T21" s="29"/>
      <c r="U21" s="29"/>
      <c r="V21" s="29"/>
      <c r="W21" s="29"/>
      <c r="X21" s="39"/>
      <c r="Y21" s="29"/>
      <c r="Z21" s="29"/>
      <c r="AA21" s="29"/>
      <c r="AB21" s="29"/>
      <c r="AC21" s="29"/>
      <c r="AD21" s="3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row>
    <row r="22" spans="1:59" x14ac:dyDescent="0.2">
      <c r="A22" s="33" t="s">
        <v>327</v>
      </c>
      <c r="B22" s="34"/>
      <c r="C22" s="34"/>
      <c r="D22" s="34"/>
      <c r="E22" s="34"/>
      <c r="F22" s="34"/>
      <c r="G22" s="34"/>
      <c r="H22" s="34"/>
      <c r="I22" s="40"/>
      <c r="J22" s="34"/>
      <c r="K22" s="29"/>
      <c r="L22" s="29"/>
      <c r="M22" s="29"/>
      <c r="N22" s="29"/>
      <c r="O22" s="29"/>
      <c r="P22" s="29"/>
      <c r="Q22" s="29"/>
      <c r="R22" s="29"/>
      <c r="S22" s="29"/>
      <c r="T22" s="29"/>
      <c r="U22" s="29"/>
      <c r="V22" s="29"/>
      <c r="W22" s="29"/>
      <c r="X22" s="39"/>
      <c r="Y22" s="29"/>
      <c r="Z22" s="29"/>
      <c r="AA22" s="29"/>
      <c r="AB22" s="29"/>
      <c r="AC22" s="29"/>
      <c r="AD22" s="39"/>
      <c r="AE22" s="29"/>
      <c r="AF22" s="29"/>
      <c r="AG22" s="29"/>
      <c r="AH22" s="29"/>
      <c r="AI22" s="29"/>
      <c r="AJ22" s="29"/>
      <c r="AK22" s="29"/>
      <c r="AL22" s="29"/>
      <c r="AM22" s="29"/>
      <c r="AN22" s="29"/>
      <c r="AO22" s="29"/>
      <c r="AP22" s="29"/>
      <c r="AQ22" s="29"/>
      <c r="AR22" s="29"/>
      <c r="AS22" s="29"/>
      <c r="AT22" s="29"/>
      <c r="AU22" s="29"/>
      <c r="AV22" s="29"/>
      <c r="AW22" s="29"/>
      <c r="AX22" s="29"/>
      <c r="AY22" s="29"/>
      <c r="AZ22" s="29"/>
      <c r="BA22" s="29"/>
      <c r="BB22" s="29"/>
      <c r="BC22" s="29"/>
      <c r="BD22" s="29"/>
      <c r="BE22" s="29"/>
      <c r="BF22" s="29"/>
      <c r="BG22" s="29"/>
    </row>
    <row r="23" spans="1:59" x14ac:dyDescent="0.2">
      <c r="A23" s="28" t="s">
        <v>386</v>
      </c>
      <c r="B23" s="34">
        <v>33.799999999999997</v>
      </c>
      <c r="C23" s="34">
        <v>6.3</v>
      </c>
      <c r="D23" s="34">
        <v>0.38</v>
      </c>
      <c r="E23" s="34">
        <v>2.99</v>
      </c>
      <c r="F23" s="34">
        <v>0.5</v>
      </c>
      <c r="G23" s="34">
        <v>0.61</v>
      </c>
      <c r="H23" s="34">
        <v>2.94</v>
      </c>
      <c r="I23" s="40">
        <v>1.1399999999999999</v>
      </c>
      <c r="J23" s="34">
        <v>7.0000000000000007E-2</v>
      </c>
      <c r="K23" s="29">
        <v>3.64</v>
      </c>
      <c r="L23" s="29">
        <v>38.799999999999997</v>
      </c>
      <c r="M23" s="29">
        <v>801</v>
      </c>
      <c r="N23" s="29">
        <v>1.94</v>
      </c>
      <c r="O23" s="29">
        <v>5.27</v>
      </c>
      <c r="P23" s="29">
        <v>122</v>
      </c>
      <c r="Q23" s="29">
        <v>10.7</v>
      </c>
      <c r="R23" s="29">
        <v>79.7</v>
      </c>
      <c r="S23" s="29"/>
      <c r="T23" s="29">
        <v>331</v>
      </c>
      <c r="U23" s="29"/>
      <c r="V23" s="29"/>
      <c r="W23" s="29"/>
      <c r="X23" s="39"/>
      <c r="Y23" s="29">
        <v>17</v>
      </c>
      <c r="Z23" s="29"/>
      <c r="AA23" s="29"/>
      <c r="AB23" s="29"/>
      <c r="AC23" s="29">
        <v>57.4</v>
      </c>
      <c r="AD23" s="39"/>
      <c r="AE23" s="29"/>
      <c r="AF23" s="29">
        <v>5220</v>
      </c>
      <c r="AG23" s="29">
        <v>13.1</v>
      </c>
      <c r="AH23" s="29">
        <v>29.9</v>
      </c>
      <c r="AI23" s="29"/>
      <c r="AJ23" s="29">
        <v>41.5</v>
      </c>
      <c r="AK23" s="29">
        <v>982</v>
      </c>
      <c r="AL23" s="29"/>
      <c r="AM23" s="29">
        <v>146</v>
      </c>
      <c r="AN23" s="29">
        <v>6</v>
      </c>
      <c r="AO23" s="29"/>
      <c r="AP23" s="29">
        <v>7.83</v>
      </c>
      <c r="AQ23" s="29">
        <v>0.39</v>
      </c>
      <c r="AR23" s="29"/>
      <c r="AS23" s="29">
        <v>2.76</v>
      </c>
      <c r="AT23" s="29">
        <v>151</v>
      </c>
      <c r="AU23" s="29"/>
      <c r="AV23" s="29"/>
      <c r="AW23" s="29">
        <v>0.96</v>
      </c>
      <c r="AX23" s="29">
        <v>17.2</v>
      </c>
      <c r="AY23" s="29">
        <v>2.7</v>
      </c>
      <c r="AZ23" s="29"/>
      <c r="BA23" s="29">
        <v>3.57</v>
      </c>
      <c r="BB23" s="29">
        <v>67.2</v>
      </c>
      <c r="BC23" s="29">
        <v>9.7799999999999994</v>
      </c>
      <c r="BD23" s="29">
        <v>28</v>
      </c>
      <c r="BE23" s="29"/>
      <c r="BF23" s="29">
        <v>930</v>
      </c>
      <c r="BG23" s="29"/>
    </row>
    <row r="24" spans="1:59" x14ac:dyDescent="0.2">
      <c r="A24" s="28" t="s">
        <v>387</v>
      </c>
      <c r="B24" s="34">
        <v>72.2</v>
      </c>
      <c r="C24" s="34">
        <v>11.9</v>
      </c>
      <c r="D24" s="34">
        <v>0.16</v>
      </c>
      <c r="E24" s="34">
        <v>4.3099999999999996</v>
      </c>
      <c r="F24" s="34">
        <v>0.83</v>
      </c>
      <c r="G24" s="34">
        <v>0.85</v>
      </c>
      <c r="H24" s="34">
        <v>3.54</v>
      </c>
      <c r="I24" s="40">
        <v>1.53</v>
      </c>
      <c r="J24" s="34">
        <v>0.16</v>
      </c>
      <c r="K24" s="29"/>
      <c r="L24" s="29"/>
      <c r="M24" s="29"/>
      <c r="N24" s="29"/>
      <c r="O24" s="29"/>
      <c r="P24" s="29"/>
      <c r="Q24" s="29"/>
      <c r="R24" s="29"/>
      <c r="S24" s="29"/>
      <c r="T24" s="29"/>
      <c r="U24" s="29"/>
      <c r="V24" s="29"/>
      <c r="W24" s="29"/>
      <c r="X24" s="39"/>
      <c r="Y24" s="29"/>
      <c r="Z24" s="29"/>
      <c r="AA24" s="29"/>
      <c r="AB24" s="29"/>
      <c r="AC24" s="29"/>
      <c r="AD24" s="3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row>
    <row r="25" spans="1:59" x14ac:dyDescent="0.2">
      <c r="A25" s="33" t="s">
        <v>329</v>
      </c>
      <c r="B25" s="34"/>
      <c r="C25" s="34"/>
      <c r="D25" s="34"/>
      <c r="E25" s="34"/>
      <c r="F25" s="34"/>
      <c r="G25" s="34"/>
      <c r="H25" s="34"/>
      <c r="I25" s="40"/>
      <c r="J25" s="34"/>
      <c r="K25" s="29"/>
      <c r="L25" s="29"/>
      <c r="M25" s="29"/>
      <c r="N25" s="29"/>
      <c r="O25" s="29"/>
      <c r="P25" s="29"/>
      <c r="Q25" s="29"/>
      <c r="R25" s="29"/>
      <c r="S25" s="29"/>
      <c r="T25" s="29"/>
      <c r="U25" s="29"/>
      <c r="V25" s="29"/>
      <c r="W25" s="29"/>
      <c r="X25" s="39"/>
      <c r="Y25" s="29"/>
      <c r="Z25" s="29"/>
      <c r="AA25" s="29"/>
      <c r="AB25" s="29"/>
      <c r="AC25" s="29"/>
      <c r="AD25" s="39"/>
      <c r="AE25" s="29"/>
      <c r="AF25" s="29"/>
      <c r="AG25" s="29"/>
      <c r="AH25" s="29"/>
      <c r="AI25" s="29"/>
      <c r="AJ25" s="29"/>
      <c r="AK25" s="29"/>
      <c r="AL25" s="29"/>
      <c r="AM25" s="29"/>
      <c r="AN25" s="29"/>
      <c r="AO25" s="29"/>
      <c r="AP25" s="29"/>
      <c r="AQ25" s="29"/>
      <c r="AR25" s="29"/>
      <c r="AS25" s="29"/>
      <c r="AT25" s="29"/>
      <c r="AU25" s="29"/>
      <c r="AV25" s="29"/>
      <c r="AW25" s="29"/>
      <c r="AX25" s="29"/>
      <c r="AY25" s="29"/>
      <c r="AZ25" s="29"/>
      <c r="BA25" s="29"/>
      <c r="BB25" s="29"/>
      <c r="BC25" s="29"/>
      <c r="BD25" s="29"/>
      <c r="BE25" s="29"/>
      <c r="BF25" s="29"/>
      <c r="BG25" s="29"/>
    </row>
    <row r="26" spans="1:59" x14ac:dyDescent="0.2">
      <c r="A26" s="28" t="s">
        <v>386</v>
      </c>
      <c r="B26" s="34"/>
      <c r="C26" s="34" t="s">
        <v>295</v>
      </c>
      <c r="D26" s="34">
        <v>0.48399999999999999</v>
      </c>
      <c r="E26" s="35">
        <v>3.97</v>
      </c>
      <c r="F26" s="34"/>
      <c r="G26" s="34"/>
      <c r="H26" s="34"/>
      <c r="I26" s="40"/>
      <c r="J26" s="34">
        <v>8.7999999999999995E-2</v>
      </c>
      <c r="K26" s="29"/>
      <c r="L26" s="29">
        <v>111</v>
      </c>
      <c r="M26" s="29">
        <v>395</v>
      </c>
      <c r="N26" s="29">
        <v>40</v>
      </c>
      <c r="O26" s="29"/>
      <c r="P26" s="29">
        <v>78</v>
      </c>
      <c r="Q26" s="29">
        <v>8</v>
      </c>
      <c r="R26" s="29">
        <v>53</v>
      </c>
      <c r="S26" s="29">
        <v>12</v>
      </c>
      <c r="T26" s="29">
        <v>237</v>
      </c>
      <c r="U26" s="29"/>
      <c r="V26" s="29">
        <v>3.2</v>
      </c>
      <c r="W26" s="29"/>
      <c r="X26" s="39"/>
      <c r="Y26" s="29"/>
      <c r="Z26" s="29"/>
      <c r="AA26" s="29">
        <v>10</v>
      </c>
      <c r="AB26" s="29"/>
      <c r="AC26" s="29">
        <v>41</v>
      </c>
      <c r="AD26" s="39">
        <v>30</v>
      </c>
      <c r="AE26" s="29">
        <v>0.5</v>
      </c>
      <c r="AF26" s="29">
        <v>490</v>
      </c>
      <c r="AG26" s="29">
        <v>16</v>
      </c>
      <c r="AH26" s="29">
        <v>15</v>
      </c>
      <c r="AI26" s="29">
        <v>30</v>
      </c>
      <c r="AJ26" s="29">
        <v>17</v>
      </c>
      <c r="AK26" s="29">
        <v>50</v>
      </c>
      <c r="AL26" s="29"/>
      <c r="AM26" s="29">
        <v>161</v>
      </c>
      <c r="AN26" s="29">
        <v>1</v>
      </c>
      <c r="AO26" s="29">
        <f>0.08*10000</f>
        <v>800</v>
      </c>
      <c r="AP26" s="29">
        <v>10</v>
      </c>
      <c r="AQ26" s="29"/>
      <c r="AR26" s="29">
        <v>6.1</v>
      </c>
      <c r="AS26" s="29"/>
      <c r="AT26" s="29">
        <v>109</v>
      </c>
      <c r="AU26" s="29">
        <v>1.6</v>
      </c>
      <c r="AV26" s="29">
        <v>1.1000000000000001</v>
      </c>
      <c r="AW26" s="29"/>
      <c r="AX26" s="29">
        <v>17.399999999999999</v>
      </c>
      <c r="AY26" s="29"/>
      <c r="AZ26" s="29"/>
      <c r="BA26" s="29">
        <v>5</v>
      </c>
      <c r="BB26" s="29">
        <v>67</v>
      </c>
      <c r="BC26" s="29">
        <v>204</v>
      </c>
      <c r="BD26" s="29">
        <v>33</v>
      </c>
      <c r="BE26" s="29">
        <v>3.4</v>
      </c>
      <c r="BF26" s="29">
        <v>70</v>
      </c>
      <c r="BG26" s="29">
        <v>385</v>
      </c>
    </row>
    <row r="27" spans="1:59" x14ac:dyDescent="0.2">
      <c r="A27" s="28"/>
      <c r="B27" s="34"/>
      <c r="C27" s="34"/>
      <c r="D27" s="34"/>
      <c r="E27" s="34"/>
      <c r="F27" s="34"/>
      <c r="G27" s="34"/>
      <c r="H27" s="34"/>
      <c r="I27" s="40"/>
      <c r="J27" s="34"/>
      <c r="K27" s="29"/>
      <c r="L27" s="29"/>
      <c r="M27" s="29"/>
      <c r="N27" s="29"/>
      <c r="O27" s="29"/>
      <c r="P27" s="29"/>
      <c r="Q27" s="29"/>
      <c r="R27" s="29"/>
      <c r="S27" s="29"/>
      <c r="T27" s="29"/>
      <c r="U27" s="29"/>
      <c r="V27" s="29"/>
      <c r="W27" s="29"/>
      <c r="X27" s="39"/>
      <c r="Y27" s="29"/>
      <c r="Z27" s="29"/>
      <c r="AA27" s="29"/>
      <c r="AB27" s="29"/>
      <c r="AC27" s="29"/>
      <c r="AD27" s="3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row>
    <row r="28" spans="1:59" x14ac:dyDescent="0.2">
      <c r="A28" s="33" t="s">
        <v>395</v>
      </c>
      <c r="B28" s="34"/>
      <c r="C28" s="34"/>
      <c r="D28" s="34"/>
      <c r="E28" s="34"/>
      <c r="F28" s="34"/>
      <c r="G28" s="34"/>
      <c r="H28" s="34"/>
      <c r="I28" s="40"/>
      <c r="J28" s="34"/>
      <c r="K28" s="29"/>
      <c r="L28" s="29"/>
      <c r="M28" s="29"/>
      <c r="N28" s="29"/>
      <c r="O28" s="29"/>
      <c r="P28" s="29"/>
      <c r="Q28" s="29"/>
      <c r="R28" s="29"/>
      <c r="S28" s="29"/>
      <c r="T28" s="29"/>
      <c r="U28" s="29"/>
      <c r="V28" s="29"/>
      <c r="W28" s="29"/>
      <c r="X28" s="39"/>
      <c r="Y28" s="29"/>
      <c r="Z28" s="29"/>
      <c r="AA28" s="29"/>
      <c r="AB28" s="29"/>
      <c r="AC28" s="29"/>
      <c r="AD28" s="39"/>
      <c r="AE28" s="29"/>
      <c r="AF28" s="29"/>
      <c r="AG28" s="29"/>
      <c r="AH28" s="29"/>
      <c r="AI28" s="29"/>
      <c r="AJ28" s="29"/>
      <c r="AK28" s="29"/>
      <c r="AL28" s="29"/>
      <c r="AM28" s="29"/>
      <c r="AN28" s="29"/>
      <c r="AO28" s="29"/>
      <c r="AP28" s="29"/>
      <c r="AQ28" s="29"/>
      <c r="AR28" s="29"/>
      <c r="AS28" s="29"/>
      <c r="AT28" s="29"/>
      <c r="AU28" s="29"/>
      <c r="AV28" s="29"/>
      <c r="AW28" s="29"/>
      <c r="AX28" s="29"/>
      <c r="AY28" s="29"/>
      <c r="AZ28" s="29"/>
      <c r="BA28" s="29"/>
      <c r="BB28" s="29"/>
      <c r="BC28" s="29"/>
      <c r="BD28" s="29"/>
      <c r="BE28" s="29"/>
      <c r="BF28" s="29"/>
      <c r="BG28" s="29"/>
    </row>
    <row r="29" spans="1:59" x14ac:dyDescent="0.2">
      <c r="A29" s="28" t="s">
        <v>386</v>
      </c>
      <c r="B29" s="34">
        <v>31</v>
      </c>
      <c r="C29" s="34">
        <v>8.8699999999999992</v>
      </c>
      <c r="D29" s="34">
        <v>0.69899999999999995</v>
      </c>
      <c r="E29" s="34">
        <v>2.7839999999999998</v>
      </c>
      <c r="F29" s="34">
        <v>0.53300000000000003</v>
      </c>
      <c r="G29" s="34">
        <v>0.19500000000000001</v>
      </c>
      <c r="H29" s="34">
        <v>3.38</v>
      </c>
      <c r="I29" s="40">
        <v>0.22120000000000001</v>
      </c>
      <c r="J29" s="34">
        <v>4.2700000000000002E-2</v>
      </c>
      <c r="K29" s="29"/>
      <c r="L29" s="29">
        <v>48.8</v>
      </c>
      <c r="M29" s="29">
        <v>993</v>
      </c>
      <c r="N29" s="29"/>
      <c r="O29" s="29">
        <v>12.1</v>
      </c>
      <c r="P29" s="29">
        <v>64</v>
      </c>
      <c r="Q29" s="29">
        <v>2.2000000000000002</v>
      </c>
      <c r="R29" s="29">
        <v>44</v>
      </c>
      <c r="S29" s="29">
        <v>13</v>
      </c>
      <c r="T29" s="29">
        <v>216</v>
      </c>
      <c r="U29" s="29"/>
      <c r="V29" s="29"/>
      <c r="W29" s="29"/>
      <c r="X29" s="39"/>
      <c r="Y29" s="29">
        <v>26</v>
      </c>
      <c r="Z29" s="29"/>
      <c r="AA29" s="29">
        <v>4.34</v>
      </c>
      <c r="AB29" s="29">
        <v>0.84</v>
      </c>
      <c r="AC29" s="29">
        <v>38</v>
      </c>
      <c r="AD29" s="39"/>
      <c r="AE29" s="29"/>
      <c r="AF29" s="29">
        <v>462</v>
      </c>
      <c r="AG29" s="29">
        <v>11</v>
      </c>
      <c r="AH29" s="29">
        <v>18</v>
      </c>
      <c r="AI29" s="29">
        <v>28</v>
      </c>
      <c r="AJ29" s="29">
        <v>12</v>
      </c>
      <c r="AK29" s="36">
        <f>0.577*10000</f>
        <v>5770</v>
      </c>
      <c r="AL29" s="29"/>
      <c r="AM29" s="29">
        <v>175</v>
      </c>
      <c r="AN29" s="29">
        <v>160</v>
      </c>
      <c r="AO29" s="37">
        <v>12630</v>
      </c>
      <c r="AP29" s="29">
        <v>23</v>
      </c>
      <c r="AQ29" s="29">
        <v>5</v>
      </c>
      <c r="AR29" s="29"/>
      <c r="AS29" s="29"/>
      <c r="AT29" s="29">
        <v>217</v>
      </c>
      <c r="AU29" s="29"/>
      <c r="AV29" s="29">
        <v>0.57999999999999996</v>
      </c>
      <c r="AW29" s="29">
        <v>5</v>
      </c>
      <c r="AX29" s="29">
        <v>12</v>
      </c>
      <c r="AY29" s="29">
        <v>5</v>
      </c>
      <c r="AZ29" s="29">
        <v>0.4</v>
      </c>
      <c r="BA29" s="29">
        <v>4</v>
      </c>
      <c r="BB29" s="29">
        <v>268</v>
      </c>
      <c r="BC29" s="29">
        <v>24</v>
      </c>
      <c r="BD29" s="29"/>
      <c r="BE29" s="29"/>
      <c r="BF29" s="36">
        <v>2570</v>
      </c>
      <c r="BG29" s="29">
        <v>176</v>
      </c>
    </row>
    <row r="30" spans="1:59" x14ac:dyDescent="0.2">
      <c r="A30" s="28" t="s">
        <v>386</v>
      </c>
      <c r="B30" s="34"/>
      <c r="C30" s="34"/>
      <c r="D30" s="34"/>
      <c r="E30" s="34"/>
      <c r="F30" s="34"/>
      <c r="G30" s="34"/>
      <c r="H30" s="34"/>
      <c r="I30" s="40"/>
      <c r="J30" s="34"/>
      <c r="K30" s="29"/>
      <c r="L30" s="29"/>
      <c r="M30" s="29"/>
      <c r="N30" s="29"/>
      <c r="O30" s="29"/>
      <c r="P30" s="29"/>
      <c r="Q30" s="29"/>
      <c r="R30" s="29"/>
      <c r="S30" s="29"/>
      <c r="T30" s="29"/>
      <c r="U30" s="29"/>
      <c r="V30" s="29"/>
      <c r="W30" s="29"/>
      <c r="X30" s="39"/>
      <c r="Y30" s="29"/>
      <c r="Z30" s="29"/>
      <c r="AA30" s="29"/>
      <c r="AB30" s="29"/>
      <c r="AC30" s="29"/>
      <c r="AD30" s="39"/>
      <c r="AE30" s="29"/>
      <c r="AF30" s="29"/>
      <c r="AG30" s="29"/>
      <c r="AH30" s="29"/>
      <c r="AI30" s="29"/>
      <c r="AJ30" s="29"/>
      <c r="AK30" s="29"/>
      <c r="AL30" s="29"/>
      <c r="AM30" s="29"/>
      <c r="AN30" s="29"/>
      <c r="AO30" s="29"/>
      <c r="AP30" s="29"/>
      <c r="AQ30" s="29"/>
      <c r="AR30" s="29"/>
      <c r="AS30" s="29"/>
      <c r="AT30" s="29"/>
      <c r="AU30" s="29"/>
      <c r="AV30" s="29"/>
      <c r="AW30" s="29"/>
      <c r="AX30" s="29"/>
      <c r="AY30" s="29"/>
      <c r="AZ30" s="29"/>
      <c r="BA30" s="29"/>
      <c r="BB30" s="29"/>
      <c r="BC30" s="29"/>
      <c r="BD30" s="29"/>
      <c r="BE30" s="29"/>
      <c r="BF30" s="29"/>
      <c r="BG30" s="29"/>
    </row>
    <row r="31" spans="1:59" x14ac:dyDescent="0.2">
      <c r="A31" s="33" t="s">
        <v>396</v>
      </c>
      <c r="B31" s="34">
        <v>30.3</v>
      </c>
      <c r="C31" s="34">
        <v>7.37</v>
      </c>
      <c r="D31" s="34">
        <v>3.36</v>
      </c>
      <c r="E31" s="34">
        <v>3.36</v>
      </c>
      <c r="F31" s="34">
        <v>1.46</v>
      </c>
      <c r="G31" s="34">
        <v>1.91</v>
      </c>
      <c r="H31" s="34">
        <v>2.11</v>
      </c>
      <c r="I31" s="40">
        <v>1.22</v>
      </c>
      <c r="J31" s="34">
        <v>6.88E-2</v>
      </c>
      <c r="K31" s="29"/>
      <c r="L31" s="29">
        <v>10.5</v>
      </c>
      <c r="M31" s="29">
        <v>979</v>
      </c>
      <c r="N31" s="29"/>
      <c r="O31" s="29">
        <v>0.371</v>
      </c>
      <c r="P31" s="29">
        <v>42</v>
      </c>
      <c r="Q31" s="29">
        <v>12.8</v>
      </c>
      <c r="R31" s="29">
        <v>130</v>
      </c>
      <c r="S31" s="29">
        <v>5</v>
      </c>
      <c r="T31" s="29">
        <v>33.9</v>
      </c>
      <c r="U31" s="29"/>
      <c r="V31" s="29"/>
      <c r="W31" s="29">
        <v>0.83</v>
      </c>
      <c r="X31" s="39"/>
      <c r="Y31" s="29"/>
      <c r="Z31" s="29">
        <v>3</v>
      </c>
      <c r="AA31" s="29"/>
      <c r="AB31" s="29"/>
      <c r="AC31" s="29">
        <v>21.7</v>
      </c>
      <c r="AD31" s="39"/>
      <c r="AE31" s="29"/>
      <c r="AF31" s="29">
        <v>529</v>
      </c>
      <c r="AG31" s="29"/>
      <c r="AH31" s="29"/>
      <c r="AI31" s="29"/>
      <c r="AJ31" s="29">
        <v>85</v>
      </c>
      <c r="AK31" s="29">
        <v>17.3</v>
      </c>
      <c r="AL31" s="29"/>
      <c r="AM31" s="29">
        <v>99</v>
      </c>
      <c r="AN31" s="29">
        <v>1.55</v>
      </c>
      <c r="AO31" s="29"/>
      <c r="AP31" s="29">
        <v>11.1</v>
      </c>
      <c r="AQ31" s="29"/>
      <c r="AR31" s="29"/>
      <c r="AS31" s="29"/>
      <c r="AT31" s="29">
        <v>239</v>
      </c>
      <c r="AU31" s="29"/>
      <c r="AV31" s="29"/>
      <c r="AW31" s="29"/>
      <c r="AX31" s="29">
        <v>10.9</v>
      </c>
      <c r="AY31" s="29">
        <v>0.57999999999999996</v>
      </c>
      <c r="AZ31" s="29"/>
      <c r="BA31" s="29">
        <v>3.15</v>
      </c>
      <c r="BB31" s="29">
        <v>110</v>
      </c>
      <c r="BC31" s="29"/>
      <c r="BD31" s="29"/>
      <c r="BE31" s="29"/>
      <c r="BF31" s="29">
        <v>103</v>
      </c>
      <c r="BG31" s="29">
        <v>195</v>
      </c>
    </row>
    <row r="32" spans="1:59" x14ac:dyDescent="0.2">
      <c r="A32" s="28" t="s">
        <v>386</v>
      </c>
      <c r="B32" s="34"/>
      <c r="C32" s="34"/>
      <c r="D32" s="34"/>
      <c r="E32" s="34"/>
      <c r="F32" s="34"/>
      <c r="G32" s="34"/>
      <c r="H32" s="34"/>
      <c r="I32" s="40"/>
      <c r="J32" s="34"/>
      <c r="K32" s="29"/>
      <c r="L32" s="29"/>
      <c r="M32" s="29"/>
      <c r="N32" s="29"/>
      <c r="O32" s="29"/>
      <c r="P32" s="29"/>
      <c r="Q32" s="29"/>
      <c r="R32" s="29"/>
      <c r="S32" s="29"/>
      <c r="T32" s="29"/>
      <c r="U32" s="29"/>
      <c r="V32" s="29"/>
      <c r="W32" s="29"/>
      <c r="X32" s="39"/>
      <c r="Y32" s="29"/>
      <c r="Z32" s="29"/>
      <c r="AA32" s="29"/>
      <c r="AB32" s="29"/>
      <c r="AC32" s="29"/>
      <c r="AD32" s="39"/>
      <c r="AE32" s="29"/>
      <c r="AF32" s="29"/>
      <c r="AG32" s="29"/>
      <c r="AH32" s="29"/>
      <c r="AI32" s="29"/>
      <c r="AJ32" s="29"/>
      <c r="AK32" s="29"/>
      <c r="AL32" s="29"/>
      <c r="AM32" s="29"/>
      <c r="AN32" s="29"/>
      <c r="AO32" s="29"/>
      <c r="AP32" s="29"/>
      <c r="AQ32" s="29"/>
      <c r="AR32" s="29"/>
      <c r="AS32" s="29"/>
      <c r="AT32" s="29"/>
      <c r="AU32" s="29"/>
      <c r="AV32" s="29"/>
      <c r="AW32" s="29"/>
      <c r="AX32" s="29"/>
      <c r="AY32" s="29"/>
      <c r="AZ32" s="29"/>
      <c r="BA32" s="29"/>
      <c r="BB32" s="29"/>
      <c r="BC32" s="29"/>
      <c r="BD32" s="29"/>
      <c r="BE32" s="29"/>
      <c r="BF32" s="29"/>
      <c r="BG32" s="29"/>
    </row>
    <row r="33" spans="1:59" x14ac:dyDescent="0.2">
      <c r="A33" s="33" t="s">
        <v>397</v>
      </c>
      <c r="B33" s="29"/>
      <c r="C33" s="29"/>
      <c r="D33" s="29"/>
      <c r="E33" s="29"/>
      <c r="F33" s="29"/>
      <c r="G33" s="29"/>
      <c r="H33" s="29"/>
      <c r="I33" s="39"/>
      <c r="J33" s="29"/>
      <c r="K33" s="29">
        <v>500</v>
      </c>
      <c r="L33" s="29">
        <v>500</v>
      </c>
      <c r="M33" s="29">
        <v>630</v>
      </c>
      <c r="N33" s="29"/>
      <c r="O33" s="29">
        <v>500</v>
      </c>
      <c r="P33" s="29"/>
      <c r="Q33" s="29"/>
      <c r="R33" s="29">
        <v>500</v>
      </c>
      <c r="S33" s="29"/>
      <c r="T33" s="29"/>
      <c r="U33" s="29"/>
      <c r="V33" s="29"/>
      <c r="W33" s="29"/>
      <c r="X33" s="39"/>
      <c r="Y33" s="29"/>
      <c r="Z33" s="29"/>
      <c r="AA33" s="29"/>
      <c r="AB33" s="29"/>
      <c r="AC33" s="29"/>
      <c r="AD33" s="39"/>
      <c r="AE33" s="29"/>
      <c r="AF33" s="29"/>
      <c r="AG33" s="29"/>
      <c r="AH33" s="29"/>
      <c r="AI33" s="29"/>
      <c r="AJ33" s="29"/>
      <c r="AK33" s="29">
        <v>500</v>
      </c>
      <c r="AL33" s="29"/>
      <c r="AM33" s="29"/>
      <c r="AN33" s="29"/>
      <c r="AO33" s="29"/>
      <c r="AP33" s="29"/>
      <c r="AQ33" s="29">
        <v>500</v>
      </c>
      <c r="AR33" s="29"/>
      <c r="AS33" s="29"/>
      <c r="AT33" s="29"/>
      <c r="AU33" s="29"/>
      <c r="AV33" s="29"/>
      <c r="AW33" s="29"/>
      <c r="AX33" s="29"/>
      <c r="AY33" s="29"/>
      <c r="AZ33" s="29"/>
      <c r="BA33" s="29"/>
      <c r="BB33" s="29"/>
      <c r="BC33" s="29"/>
      <c r="BD33" s="29"/>
      <c r="BE33" s="29"/>
      <c r="BF33" s="29"/>
      <c r="BG33" s="29"/>
    </row>
    <row r="34" spans="1:59" x14ac:dyDescent="0.2">
      <c r="A34" s="28" t="s">
        <v>386</v>
      </c>
      <c r="B34" s="29"/>
      <c r="C34" s="29"/>
      <c r="D34" s="29"/>
      <c r="E34" s="29"/>
      <c r="F34" s="29"/>
      <c r="G34" s="29"/>
      <c r="H34" s="29"/>
      <c r="I34" s="39"/>
      <c r="J34" s="29"/>
      <c r="K34" s="29"/>
      <c r="L34" s="29"/>
      <c r="M34" s="29"/>
      <c r="N34" s="29"/>
      <c r="O34" s="29"/>
      <c r="P34" s="29"/>
      <c r="Q34" s="29"/>
      <c r="R34" s="29"/>
      <c r="S34" s="29"/>
      <c r="T34" s="29"/>
      <c r="U34" s="29"/>
      <c r="V34" s="29"/>
      <c r="W34" s="29"/>
      <c r="X34" s="39"/>
      <c r="Y34" s="29"/>
      <c r="Z34" s="29"/>
      <c r="AA34" s="29"/>
      <c r="AB34" s="29"/>
      <c r="AC34" s="29"/>
      <c r="AD34" s="3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row>
    <row r="36" spans="1:59" x14ac:dyDescent="0.2">
      <c r="A36" s="41" t="s">
        <v>401</v>
      </c>
      <c r="B36" s="42"/>
      <c r="C36" s="42"/>
      <c r="D36" s="42"/>
      <c r="E36" s="42"/>
      <c r="F36" s="42"/>
      <c r="G36" s="42"/>
      <c r="H36" s="42"/>
      <c r="I36" s="42"/>
      <c r="J36" s="42"/>
      <c r="K36" s="43"/>
    </row>
    <row r="37" spans="1:59" x14ac:dyDescent="0.2">
      <c r="A37" s="44" t="s">
        <v>398</v>
      </c>
      <c r="B37" s="45"/>
      <c r="C37" s="45"/>
      <c r="D37" s="45"/>
      <c r="E37" s="45"/>
      <c r="F37" s="45"/>
      <c r="G37" s="45"/>
      <c r="H37" s="45"/>
      <c r="I37" s="45"/>
      <c r="J37" s="45"/>
      <c r="K37" s="46"/>
    </row>
    <row r="38" spans="1:59" x14ac:dyDescent="0.2">
      <c r="A38" s="41" t="s">
        <v>399</v>
      </c>
      <c r="B38" s="42"/>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3"/>
    </row>
    <row r="39" spans="1:59" x14ac:dyDescent="0.2">
      <c r="A39" s="41" t="s">
        <v>400</v>
      </c>
      <c r="B39" s="42"/>
      <c r="C39" s="42"/>
      <c r="D39" s="42"/>
      <c r="E39" s="42"/>
      <c r="F39" s="42"/>
      <c r="G39" s="42"/>
      <c r="H39" s="42"/>
      <c r="I39" s="42"/>
      <c r="J39" s="42"/>
      <c r="K39" s="42"/>
      <c r="L39" s="42"/>
      <c r="M39" s="43"/>
    </row>
  </sheetData>
  <mergeCells count="4">
    <mergeCell ref="A36:K36"/>
    <mergeCell ref="A37:K37"/>
    <mergeCell ref="A38:AC38"/>
    <mergeCell ref="A39:M39"/>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K45"/>
  <sheetViews>
    <sheetView topLeftCell="E24" workbookViewId="0">
      <selection activeCell="I7" sqref="I7"/>
    </sheetView>
  </sheetViews>
  <sheetFormatPr baseColWidth="10" defaultColWidth="8.83203125" defaultRowHeight="15" x14ac:dyDescent="0.2"/>
  <sheetData>
    <row r="2" spans="1:11" x14ac:dyDescent="0.2">
      <c r="A2" t="s">
        <v>274</v>
      </c>
    </row>
    <row r="3" spans="1:11" x14ac:dyDescent="0.2">
      <c r="A3" t="s">
        <v>275</v>
      </c>
      <c r="B3" t="s">
        <v>306</v>
      </c>
      <c r="C3" t="s">
        <v>307</v>
      </c>
      <c r="F3" t="s">
        <v>138</v>
      </c>
      <c r="G3" t="s">
        <v>194</v>
      </c>
      <c r="H3" t="s">
        <v>195</v>
      </c>
    </row>
    <row r="4" spans="1:11" x14ac:dyDescent="0.2">
      <c r="A4" t="s">
        <v>276</v>
      </c>
      <c r="B4">
        <v>11.9</v>
      </c>
      <c r="C4">
        <v>0.11</v>
      </c>
      <c r="D4">
        <f>B4*0.5292</f>
        <v>6.2974800000000002</v>
      </c>
      <c r="F4" t="s">
        <v>277</v>
      </c>
      <c r="G4">
        <v>6.3</v>
      </c>
      <c r="H4">
        <v>0.06</v>
      </c>
    </row>
    <row r="5" spans="1:11" x14ac:dyDescent="0.2">
      <c r="A5" t="s">
        <v>278</v>
      </c>
      <c r="B5">
        <v>0.85</v>
      </c>
      <c r="C5">
        <v>0.03</v>
      </c>
      <c r="E5" t="s">
        <v>279</v>
      </c>
      <c r="F5" t="s">
        <v>280</v>
      </c>
      <c r="G5">
        <v>0.61</v>
      </c>
      <c r="H5">
        <v>0.02</v>
      </c>
    </row>
    <row r="6" spans="1:11" x14ac:dyDescent="0.2">
      <c r="A6" t="s">
        <v>281</v>
      </c>
      <c r="B6">
        <v>4.3099999999999996</v>
      </c>
      <c r="C6">
        <v>0.19</v>
      </c>
      <c r="D6">
        <f>B6*0.6994</f>
        <v>3.0144139999999999</v>
      </c>
      <c r="F6" t="s">
        <v>282</v>
      </c>
      <c r="G6">
        <v>2.99</v>
      </c>
      <c r="H6">
        <v>0.13</v>
      </c>
      <c r="I6">
        <f>G6+G7</f>
        <v>3.6</v>
      </c>
      <c r="J6">
        <v>3.2</v>
      </c>
      <c r="K6">
        <f>J6/I6</f>
        <v>0.88888888888888895</v>
      </c>
    </row>
    <row r="7" spans="1:11" x14ac:dyDescent="0.2">
      <c r="A7" t="s">
        <v>283</v>
      </c>
      <c r="B7">
        <v>0.79</v>
      </c>
      <c r="C7">
        <v>3.9E-2</v>
      </c>
      <c r="D7">
        <f>B7*0.7773</f>
        <v>0.61406700000000003</v>
      </c>
      <c r="E7" t="s">
        <v>279</v>
      </c>
      <c r="F7" t="s">
        <v>284</v>
      </c>
      <c r="G7">
        <v>0.61</v>
      </c>
      <c r="H7">
        <v>0.03</v>
      </c>
    </row>
    <row r="8" spans="1:11" x14ac:dyDescent="0.2">
      <c r="A8" t="s">
        <v>285</v>
      </c>
      <c r="B8">
        <v>3.54</v>
      </c>
      <c r="C8">
        <v>7.0000000000000007E-2</v>
      </c>
      <c r="E8" t="s">
        <v>286</v>
      </c>
      <c r="F8" t="s">
        <v>287</v>
      </c>
      <c r="G8">
        <v>2.94</v>
      </c>
      <c r="H8">
        <v>0.06</v>
      </c>
    </row>
    <row r="9" spans="1:11" x14ac:dyDescent="0.2">
      <c r="A9" t="s">
        <v>288</v>
      </c>
      <c r="B9">
        <v>0.83</v>
      </c>
      <c r="C9">
        <v>0.02</v>
      </c>
      <c r="D9">
        <f>B9*0.603</f>
        <v>0.50048999999999999</v>
      </c>
      <c r="E9" t="s">
        <v>286</v>
      </c>
      <c r="F9" t="s">
        <v>289</v>
      </c>
      <c r="G9">
        <v>0.5</v>
      </c>
      <c r="H9">
        <v>0.01</v>
      </c>
    </row>
    <row r="10" spans="1:11" x14ac:dyDescent="0.2">
      <c r="A10" t="s">
        <v>290</v>
      </c>
      <c r="B10">
        <v>1.53</v>
      </c>
      <c r="C10">
        <v>0.01</v>
      </c>
      <c r="F10" t="s">
        <v>291</v>
      </c>
      <c r="G10">
        <v>1.1399999999999999</v>
      </c>
      <c r="H10">
        <v>7.0000000000000001E-3</v>
      </c>
    </row>
    <row r="11" spans="1:11" x14ac:dyDescent="0.2">
      <c r="A11" t="s">
        <v>292</v>
      </c>
      <c r="B11">
        <v>0.16</v>
      </c>
      <c r="C11">
        <v>0.01</v>
      </c>
      <c r="E11" t="s">
        <v>279</v>
      </c>
      <c r="F11" t="s">
        <v>293</v>
      </c>
      <c r="G11">
        <v>7.0000000000000007E-2</v>
      </c>
      <c r="H11">
        <v>4.0000000000000001E-3</v>
      </c>
    </row>
    <row r="12" spans="1:11" x14ac:dyDescent="0.2">
      <c r="A12" t="s">
        <v>294</v>
      </c>
      <c r="B12">
        <v>72.2</v>
      </c>
      <c r="C12">
        <v>0.49</v>
      </c>
      <c r="D12">
        <f>B12*0.4674</f>
        <v>33.746279999999999</v>
      </c>
      <c r="E12" t="s">
        <v>295</v>
      </c>
      <c r="F12" t="s">
        <v>296</v>
      </c>
      <c r="G12">
        <v>33.799999999999997</v>
      </c>
      <c r="H12">
        <v>0.23</v>
      </c>
    </row>
    <row r="13" spans="1:11" x14ac:dyDescent="0.2">
      <c r="A13" t="s">
        <v>297</v>
      </c>
      <c r="B13">
        <v>0.63</v>
      </c>
      <c r="C13">
        <v>0.01</v>
      </c>
      <c r="E13" t="s">
        <v>286</v>
      </c>
      <c r="F13" t="s">
        <v>298</v>
      </c>
      <c r="G13">
        <v>0.38</v>
      </c>
      <c r="H13">
        <v>6.0000000000000001E-3</v>
      </c>
    </row>
    <row r="14" spans="1:11" x14ac:dyDescent="0.2">
      <c r="A14" t="s">
        <v>299</v>
      </c>
      <c r="B14">
        <v>0.35</v>
      </c>
      <c r="C14">
        <v>2.5000000000000001E-2</v>
      </c>
    </row>
    <row r="15" spans="1:11" x14ac:dyDescent="0.2">
      <c r="A15" t="s">
        <v>300</v>
      </c>
      <c r="B15">
        <v>8.2000000000000003E-2</v>
      </c>
      <c r="C15">
        <v>7.0000000000000001E-3</v>
      </c>
    </row>
    <row r="16" spans="1:11" x14ac:dyDescent="0.2">
      <c r="A16" t="s">
        <v>301</v>
      </c>
      <c r="B16">
        <v>0.12</v>
      </c>
      <c r="C16">
        <v>0.01</v>
      </c>
    </row>
    <row r="18" spans="1:9" x14ac:dyDescent="0.2">
      <c r="A18" t="s">
        <v>138</v>
      </c>
      <c r="B18" t="s">
        <v>153</v>
      </c>
      <c r="C18" t="s">
        <v>195</v>
      </c>
      <c r="F18" t="s">
        <v>138</v>
      </c>
      <c r="G18" t="s">
        <v>302</v>
      </c>
      <c r="H18" t="s">
        <v>195</v>
      </c>
    </row>
    <row r="19" spans="1:9" x14ac:dyDescent="0.2">
      <c r="A19" t="s">
        <v>76</v>
      </c>
      <c r="B19">
        <v>3.64</v>
      </c>
      <c r="C19">
        <v>0.82</v>
      </c>
      <c r="F19" t="s">
        <v>48</v>
      </c>
      <c r="G19">
        <v>5220</v>
      </c>
      <c r="I19">
        <v>300</v>
      </c>
    </row>
    <row r="20" spans="1:9" x14ac:dyDescent="0.2">
      <c r="A20" t="s">
        <v>32</v>
      </c>
      <c r="B20">
        <v>38.799999999999997</v>
      </c>
      <c r="C20">
        <v>2.6</v>
      </c>
      <c r="F20" t="s">
        <v>14</v>
      </c>
      <c r="G20">
        <v>13.1</v>
      </c>
      <c r="I20">
        <v>0.95</v>
      </c>
    </row>
    <row r="21" spans="1:9" x14ac:dyDescent="0.2">
      <c r="A21" t="s">
        <v>28</v>
      </c>
      <c r="B21">
        <v>0.46200000000000002</v>
      </c>
      <c r="C21">
        <v>0.21</v>
      </c>
      <c r="F21" t="s">
        <v>82</v>
      </c>
      <c r="G21">
        <v>29.9</v>
      </c>
      <c r="I21">
        <v>3.37</v>
      </c>
    </row>
    <row r="22" spans="1:9" x14ac:dyDescent="0.2">
      <c r="A22" t="s">
        <v>64</v>
      </c>
      <c r="B22">
        <v>801</v>
      </c>
      <c r="C22">
        <v>28</v>
      </c>
      <c r="F22" t="s">
        <v>161</v>
      </c>
    </row>
    <row r="23" spans="1:9" x14ac:dyDescent="0.2">
      <c r="A23" t="s">
        <v>181</v>
      </c>
      <c r="B23">
        <v>2.2000000000000002</v>
      </c>
      <c r="C23">
        <v>0.28999999999999998</v>
      </c>
      <c r="F23" t="s">
        <v>42</v>
      </c>
      <c r="G23">
        <v>41.5</v>
      </c>
      <c r="I23">
        <v>3.17</v>
      </c>
    </row>
    <row r="24" spans="1:9" x14ac:dyDescent="0.2">
      <c r="A24" t="s">
        <v>84</v>
      </c>
      <c r="B24">
        <v>1.94</v>
      </c>
      <c r="C24">
        <v>0.21</v>
      </c>
      <c r="F24" t="s">
        <v>26</v>
      </c>
      <c r="G24">
        <v>982</v>
      </c>
      <c r="I24">
        <v>78</v>
      </c>
    </row>
    <row r="25" spans="1:9" x14ac:dyDescent="0.2">
      <c r="A25" t="s">
        <v>74</v>
      </c>
      <c r="B25">
        <v>5.27</v>
      </c>
      <c r="C25">
        <v>0.41</v>
      </c>
      <c r="F25" t="s">
        <v>22</v>
      </c>
      <c r="G25">
        <v>146</v>
      </c>
      <c r="I25">
        <v>8.4</v>
      </c>
    </row>
    <row r="26" spans="1:9" x14ac:dyDescent="0.2">
      <c r="A26" t="s">
        <v>154</v>
      </c>
      <c r="B26">
        <v>122</v>
      </c>
      <c r="C26">
        <v>8.4</v>
      </c>
      <c r="F26" t="s">
        <v>70</v>
      </c>
      <c r="G26">
        <v>6</v>
      </c>
      <c r="I26">
        <v>0.44</v>
      </c>
    </row>
    <row r="27" spans="1:9" x14ac:dyDescent="0.2">
      <c r="A27" t="s">
        <v>44</v>
      </c>
      <c r="B27">
        <v>10.7</v>
      </c>
      <c r="C27">
        <v>0.81</v>
      </c>
      <c r="F27" t="s">
        <v>56</v>
      </c>
      <c r="G27">
        <v>7.83</v>
      </c>
      <c r="I27">
        <v>0.6</v>
      </c>
    </row>
    <row r="28" spans="1:9" x14ac:dyDescent="0.2">
      <c r="A28" t="s">
        <v>50</v>
      </c>
      <c r="B28">
        <v>79.7</v>
      </c>
      <c r="C28">
        <v>10</v>
      </c>
      <c r="F28" t="s">
        <v>30</v>
      </c>
      <c r="G28">
        <v>0.39</v>
      </c>
      <c r="I28">
        <v>0.05</v>
      </c>
    </row>
    <row r="29" spans="1:9" x14ac:dyDescent="0.2">
      <c r="A29" t="s">
        <v>40</v>
      </c>
      <c r="B29">
        <v>331</v>
      </c>
      <c r="C29">
        <v>18</v>
      </c>
      <c r="F29" t="s">
        <v>72</v>
      </c>
      <c r="G29">
        <v>2.76</v>
      </c>
      <c r="I29">
        <v>0.28999999999999998</v>
      </c>
    </row>
    <row r="30" spans="1:9" x14ac:dyDescent="0.2">
      <c r="A30" t="s">
        <v>156</v>
      </c>
      <c r="B30">
        <v>17</v>
      </c>
      <c r="C30">
        <v>1</v>
      </c>
      <c r="F30" t="s">
        <v>18</v>
      </c>
      <c r="G30">
        <v>151</v>
      </c>
      <c r="I30">
        <v>10.7</v>
      </c>
    </row>
    <row r="31" spans="1:9" x14ac:dyDescent="0.2">
      <c r="A31" t="s">
        <v>303</v>
      </c>
      <c r="B31">
        <v>1.08</v>
      </c>
      <c r="C31">
        <v>0.08</v>
      </c>
      <c r="F31" t="s">
        <v>68</v>
      </c>
      <c r="G31">
        <v>0.96</v>
      </c>
      <c r="I31">
        <v>0.12</v>
      </c>
    </row>
    <row r="32" spans="1:9" x14ac:dyDescent="0.2">
      <c r="A32" t="s">
        <v>159</v>
      </c>
      <c r="B32">
        <v>57.4</v>
      </c>
      <c r="C32">
        <v>4.9000000000000004</v>
      </c>
      <c r="F32" t="s">
        <v>24</v>
      </c>
      <c r="G32">
        <v>17.2</v>
      </c>
      <c r="I32">
        <v>1.5</v>
      </c>
    </row>
    <row r="33" spans="1:9" x14ac:dyDescent="0.2">
      <c r="A33" t="s">
        <v>169</v>
      </c>
      <c r="B33">
        <v>27.4</v>
      </c>
      <c r="C33">
        <v>2.6</v>
      </c>
      <c r="F33" t="s">
        <v>184</v>
      </c>
      <c r="G33">
        <v>2.7</v>
      </c>
      <c r="I33">
        <v>0.2</v>
      </c>
    </row>
    <row r="34" spans="1:9" x14ac:dyDescent="0.2">
      <c r="A34" t="s">
        <v>138</v>
      </c>
      <c r="B34" t="s">
        <v>153</v>
      </c>
      <c r="C34" t="s">
        <v>195</v>
      </c>
    </row>
    <row r="35" spans="1:9" x14ac:dyDescent="0.2">
      <c r="A35" t="s">
        <v>20</v>
      </c>
      <c r="B35">
        <v>3.57</v>
      </c>
      <c r="C35">
        <v>0.28000000000000003</v>
      </c>
    </row>
    <row r="36" spans="1:9" x14ac:dyDescent="0.2">
      <c r="A36" t="s">
        <v>52</v>
      </c>
      <c r="B36">
        <v>67.2</v>
      </c>
      <c r="C36">
        <v>3.68</v>
      </c>
    </row>
    <row r="37" spans="1:9" x14ac:dyDescent="0.2">
      <c r="A37" t="s">
        <v>38</v>
      </c>
      <c r="B37">
        <v>9.7799999999999994</v>
      </c>
      <c r="C37">
        <v>1.39</v>
      </c>
    </row>
    <row r="38" spans="1:9" x14ac:dyDescent="0.2">
      <c r="A38" t="s">
        <v>158</v>
      </c>
      <c r="B38">
        <v>28</v>
      </c>
      <c r="C38">
        <v>3.11</v>
      </c>
    </row>
    <row r="39" spans="1:9" x14ac:dyDescent="0.2">
      <c r="A39" t="s">
        <v>160</v>
      </c>
    </row>
    <row r="40" spans="1:9" x14ac:dyDescent="0.2">
      <c r="A40" t="s">
        <v>36</v>
      </c>
      <c r="B40">
        <v>930</v>
      </c>
      <c r="C40">
        <v>79.599999999999994</v>
      </c>
    </row>
    <row r="41" spans="1:9" x14ac:dyDescent="0.2">
      <c r="A41" t="s">
        <v>16</v>
      </c>
    </row>
    <row r="43" spans="1:9" x14ac:dyDescent="0.2">
      <c r="A43" t="s">
        <v>138</v>
      </c>
      <c r="B43" t="s">
        <v>304</v>
      </c>
      <c r="C43" t="s">
        <v>195</v>
      </c>
    </row>
    <row r="44" spans="1:9" x14ac:dyDescent="0.2">
      <c r="A44" t="s">
        <v>78</v>
      </c>
      <c r="B44">
        <v>1.46</v>
      </c>
      <c r="C44">
        <v>1.1399999999999999</v>
      </c>
    </row>
    <row r="45" spans="1:9" x14ac:dyDescent="0.2">
      <c r="A45" t="s">
        <v>305</v>
      </c>
      <c r="B45">
        <v>1.62</v>
      </c>
      <c r="C45">
        <v>0.76</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N16"/>
  <sheetViews>
    <sheetView topLeftCell="A3" workbookViewId="0">
      <selection activeCell="N17" sqref="N17"/>
    </sheetView>
  </sheetViews>
  <sheetFormatPr baseColWidth="10" defaultColWidth="8.83203125" defaultRowHeight="15" x14ac:dyDescent="0.2"/>
  <sheetData>
    <row r="16" spans="14:14" x14ac:dyDescent="0.2">
      <c r="N16">
        <f>2.11*0.8301</f>
        <v>1.7515109999999998</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topLeftCell="A9" workbookViewId="0">
      <selection activeCell="F17" sqref="F17"/>
    </sheetView>
  </sheetViews>
  <sheetFormatPr baseColWidth="10" defaultColWidth="8.83203125" defaultRowHeight="15" x14ac:dyDescent="0.2"/>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115" zoomScaleNormal="115" workbookViewId="0">
      <selection activeCell="L4" sqref="L4"/>
    </sheetView>
  </sheetViews>
  <sheetFormatPr baseColWidth="10" defaultColWidth="8.83203125" defaultRowHeight="15" x14ac:dyDescent="0.2"/>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D21:F21"/>
  <sheetViews>
    <sheetView topLeftCell="A9" workbookViewId="0">
      <selection activeCell="F22" sqref="F22"/>
    </sheetView>
  </sheetViews>
  <sheetFormatPr baseColWidth="10" defaultColWidth="8.83203125" defaultRowHeight="15" x14ac:dyDescent="0.2"/>
  <sheetData>
    <row r="21" spans="4:6" x14ac:dyDescent="0.2">
      <c r="D21">
        <f>33800</f>
        <v>33800</v>
      </c>
      <c r="E21">
        <f>D21/10^4</f>
        <v>3.38</v>
      </c>
      <c r="F21">
        <f>E21*0.8301</f>
        <v>2.8057379999999998</v>
      </c>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Z42"/>
  <sheetViews>
    <sheetView workbookViewId="0">
      <pane xSplit="10" ySplit="1" topLeftCell="K2" activePane="bottomRight" state="frozen"/>
      <selection pane="topRight" activeCell="K1" sqref="K1"/>
      <selection pane="bottomLeft" activeCell="A2" sqref="A2"/>
      <selection pane="bottomRight" activeCell="J9" sqref="J9"/>
    </sheetView>
  </sheetViews>
  <sheetFormatPr baseColWidth="10" defaultColWidth="8.83203125" defaultRowHeight="15" x14ac:dyDescent="0.2"/>
  <cols>
    <col min="1" max="2" width="8.83203125" customWidth="1"/>
    <col min="3" max="3" width="15.6640625" customWidth="1"/>
    <col min="4" max="4" width="10.1640625" customWidth="1"/>
    <col min="5" max="9" width="8.83203125" customWidth="1"/>
    <col min="10" max="10" width="23.1640625" bestFit="1" customWidth="1"/>
  </cols>
  <sheetData>
    <row r="1" spans="1:104" x14ac:dyDescent="0.2">
      <c r="A1" t="s">
        <v>0</v>
      </c>
      <c r="B1" t="s">
        <v>1</v>
      </c>
      <c r="C1" t="s">
        <v>2</v>
      </c>
      <c r="D1" t="s">
        <v>3</v>
      </c>
      <c r="E1" t="s">
        <v>4</v>
      </c>
      <c r="F1" t="s">
        <v>5</v>
      </c>
      <c r="G1" t="s">
        <v>6</v>
      </c>
      <c r="H1" t="s">
        <v>7</v>
      </c>
      <c r="I1" t="s">
        <v>8</v>
      </c>
      <c r="J1" t="s">
        <v>9</v>
      </c>
      <c r="K1" t="s">
        <v>10</v>
      </c>
      <c r="L1" t="s">
        <v>11</v>
      </c>
      <c r="M1" t="s">
        <v>12</v>
      </c>
      <c r="N1" t="s">
        <v>13</v>
      </c>
      <c r="O1" t="s">
        <v>14</v>
      </c>
      <c r="P1" t="s">
        <v>15</v>
      </c>
      <c r="Q1" t="s">
        <v>16</v>
      </c>
      <c r="R1" t="s">
        <v>269</v>
      </c>
      <c r="S1" t="s">
        <v>17</v>
      </c>
      <c r="T1" t="s">
        <v>18</v>
      </c>
      <c r="U1" t="s">
        <v>19</v>
      </c>
      <c r="V1" t="s">
        <v>20</v>
      </c>
      <c r="W1" t="s">
        <v>21</v>
      </c>
      <c r="X1" t="s">
        <v>22</v>
      </c>
      <c r="Y1" t="s">
        <v>23</v>
      </c>
      <c r="Z1" t="s">
        <v>24</v>
      </c>
      <c r="AA1" t="s">
        <v>25</v>
      </c>
      <c r="AB1" t="s">
        <v>26</v>
      </c>
      <c r="AC1" t="s">
        <v>27</v>
      </c>
      <c r="AD1" t="s">
        <v>28</v>
      </c>
      <c r="AE1" t="s">
        <v>29</v>
      </c>
      <c r="AF1" t="s">
        <v>30</v>
      </c>
      <c r="AG1" t="s">
        <v>31</v>
      </c>
      <c r="AH1" t="s">
        <v>32</v>
      </c>
      <c r="AI1" t="s">
        <v>33</v>
      </c>
      <c r="AJ1" t="s">
        <v>34</v>
      </c>
      <c r="AK1" t="s">
        <v>35</v>
      </c>
      <c r="AL1" t="s">
        <v>36</v>
      </c>
      <c r="AM1" t="s">
        <v>37</v>
      </c>
      <c r="AN1" t="s">
        <v>38</v>
      </c>
      <c r="AO1" t="s">
        <v>39</v>
      </c>
      <c r="AP1" t="s">
        <v>40</v>
      </c>
      <c r="AQ1" t="s">
        <v>41</v>
      </c>
      <c r="AR1" t="s">
        <v>42</v>
      </c>
      <c r="AS1" t="s">
        <v>43</v>
      </c>
      <c r="AT1" t="s">
        <v>44</v>
      </c>
      <c r="AU1" t="s">
        <v>45</v>
      </c>
      <c r="AV1" t="s">
        <v>46</v>
      </c>
      <c r="AW1" t="s">
        <v>47</v>
      </c>
      <c r="AX1" t="s">
        <v>48</v>
      </c>
      <c r="AY1" t="s">
        <v>49</v>
      </c>
      <c r="AZ1" t="s">
        <v>50</v>
      </c>
      <c r="BA1" t="s">
        <v>51</v>
      </c>
      <c r="BB1" t="s">
        <v>52</v>
      </c>
      <c r="BC1" t="s">
        <v>53</v>
      </c>
      <c r="BD1" t="s">
        <v>54</v>
      </c>
      <c r="BE1" t="s">
        <v>55</v>
      </c>
      <c r="BF1" t="s">
        <v>56</v>
      </c>
      <c r="BG1" t="s">
        <v>57</v>
      </c>
      <c r="BH1" t="s">
        <v>58</v>
      </c>
      <c r="BI1" t="s">
        <v>59</v>
      </c>
      <c r="BJ1" t="s">
        <v>60</v>
      </c>
      <c r="BK1" t="s">
        <v>61</v>
      </c>
      <c r="BL1" t="s">
        <v>62</v>
      </c>
      <c r="BM1" t="s">
        <v>63</v>
      </c>
      <c r="BN1" t="s">
        <v>64</v>
      </c>
      <c r="BO1" t="s">
        <v>65</v>
      </c>
      <c r="BP1" t="s">
        <v>66</v>
      </c>
      <c r="BQ1" t="s">
        <v>67</v>
      </c>
      <c r="BR1" t="s">
        <v>68</v>
      </c>
      <c r="BS1" t="s">
        <v>69</v>
      </c>
      <c r="BT1" t="s">
        <v>70</v>
      </c>
      <c r="BU1" t="s">
        <v>71</v>
      </c>
      <c r="BV1" t="s">
        <v>72</v>
      </c>
      <c r="BW1" t="s">
        <v>73</v>
      </c>
      <c r="BX1" t="s">
        <v>74</v>
      </c>
      <c r="BY1" t="s">
        <v>75</v>
      </c>
      <c r="BZ1" t="s">
        <v>76</v>
      </c>
      <c r="CA1" t="s">
        <v>77</v>
      </c>
      <c r="CB1" t="s">
        <v>78</v>
      </c>
      <c r="CC1" t="s">
        <v>79</v>
      </c>
      <c r="CD1" t="s">
        <v>80</v>
      </c>
      <c r="CE1" t="s">
        <v>81</v>
      </c>
      <c r="CF1" t="s">
        <v>82</v>
      </c>
      <c r="CG1" t="s">
        <v>83</v>
      </c>
      <c r="CH1" t="s">
        <v>84</v>
      </c>
      <c r="CI1" t="s">
        <v>85</v>
      </c>
      <c r="CJ1" t="s">
        <v>86</v>
      </c>
      <c r="CK1" t="s">
        <v>87</v>
      </c>
      <c r="CL1" t="s">
        <v>88</v>
      </c>
      <c r="CM1" t="s">
        <v>89</v>
      </c>
      <c r="CN1" t="s">
        <v>90</v>
      </c>
      <c r="CO1" t="s">
        <v>91</v>
      </c>
      <c r="CP1" t="s">
        <v>92</v>
      </c>
      <c r="CQ1" t="s">
        <v>93</v>
      </c>
      <c r="CR1" t="s">
        <v>94</v>
      </c>
      <c r="CS1" t="s">
        <v>95</v>
      </c>
      <c r="CT1" t="s">
        <v>96</v>
      </c>
      <c r="CU1" t="s">
        <v>97</v>
      </c>
      <c r="CV1" t="s">
        <v>251</v>
      </c>
      <c r="CW1" t="s">
        <v>98</v>
      </c>
      <c r="CX1" t="s">
        <v>99</v>
      </c>
      <c r="CY1" t="s">
        <v>100</v>
      </c>
      <c r="CZ1" t="s">
        <v>101</v>
      </c>
    </row>
    <row r="2" spans="1:104" x14ac:dyDescent="0.2">
      <c r="A2">
        <v>1</v>
      </c>
      <c r="B2">
        <v>1673</v>
      </c>
      <c r="C2" s="1">
        <v>42087.674305555556</v>
      </c>
      <c r="D2" t="s">
        <v>102</v>
      </c>
      <c r="E2">
        <v>121</v>
      </c>
      <c r="F2" t="s">
        <v>103</v>
      </c>
      <c r="G2">
        <v>2</v>
      </c>
      <c r="H2" t="s">
        <v>104</v>
      </c>
      <c r="I2" t="s">
        <v>105</v>
      </c>
      <c r="J2" t="s">
        <v>106</v>
      </c>
      <c r="O2">
        <v>250.01</v>
      </c>
      <c r="P2">
        <v>6.59</v>
      </c>
      <c r="Q2">
        <v>163.71</v>
      </c>
      <c r="R2">
        <f>Q2/10^4</f>
        <v>1.6371E-2</v>
      </c>
      <c r="S2">
        <v>5.53</v>
      </c>
      <c r="T2">
        <v>324.02</v>
      </c>
      <c r="U2">
        <v>7.42</v>
      </c>
      <c r="V2" t="s">
        <v>107</v>
      </c>
      <c r="W2">
        <v>8.6300000000000008</v>
      </c>
      <c r="X2">
        <v>21.63</v>
      </c>
      <c r="Y2">
        <v>1.74</v>
      </c>
      <c r="Z2" t="s">
        <v>107</v>
      </c>
      <c r="AA2">
        <v>5.64</v>
      </c>
      <c r="AB2">
        <v>15.52</v>
      </c>
      <c r="AC2">
        <v>5.24</v>
      </c>
      <c r="AD2" t="s">
        <v>107</v>
      </c>
      <c r="AE2">
        <v>9.23</v>
      </c>
      <c r="AF2" t="s">
        <v>107</v>
      </c>
      <c r="AG2">
        <v>4.97</v>
      </c>
      <c r="AH2" t="s">
        <v>107</v>
      </c>
      <c r="AI2">
        <v>13.12</v>
      </c>
      <c r="AJ2" t="s">
        <v>107</v>
      </c>
      <c r="AK2">
        <v>12.53</v>
      </c>
      <c r="AL2">
        <v>114.46</v>
      </c>
      <c r="AM2">
        <v>14.37</v>
      </c>
      <c r="AN2">
        <v>64.010000000000005</v>
      </c>
      <c r="AO2">
        <v>36.880000000000003</v>
      </c>
      <c r="AP2" t="s">
        <v>107</v>
      </c>
      <c r="AQ2">
        <v>24.86</v>
      </c>
      <c r="AR2">
        <v>75.69</v>
      </c>
      <c r="AS2">
        <v>31.33</v>
      </c>
      <c r="AT2" t="s">
        <v>107</v>
      </c>
      <c r="AU2">
        <v>311.70999999999998</v>
      </c>
      <c r="AV2">
        <v>95815.86</v>
      </c>
      <c r="AW2">
        <v>803.96</v>
      </c>
      <c r="AX2">
        <v>1552.93</v>
      </c>
      <c r="AY2">
        <v>110.42</v>
      </c>
      <c r="AZ2">
        <v>154.38</v>
      </c>
      <c r="BA2">
        <v>31.69</v>
      </c>
      <c r="BB2">
        <v>411.76</v>
      </c>
      <c r="BC2">
        <v>58.9</v>
      </c>
      <c r="BD2">
        <v>12866.44</v>
      </c>
      <c r="BE2">
        <v>220.21</v>
      </c>
      <c r="BF2">
        <v>119.89</v>
      </c>
      <c r="BG2">
        <v>67.900000000000006</v>
      </c>
      <c r="BH2">
        <v>55214.28</v>
      </c>
      <c r="BI2">
        <v>1122.79</v>
      </c>
      <c r="BJ2">
        <v>14656.87</v>
      </c>
      <c r="BK2">
        <v>413.36</v>
      </c>
      <c r="BL2">
        <v>672.02</v>
      </c>
      <c r="BM2">
        <v>90.92</v>
      </c>
      <c r="BN2">
        <v>930.47</v>
      </c>
      <c r="BO2">
        <v>46.75</v>
      </c>
      <c r="BP2">
        <v>41.65</v>
      </c>
      <c r="BQ2">
        <v>7.11</v>
      </c>
      <c r="BR2">
        <v>36.409999999999997</v>
      </c>
      <c r="BS2">
        <v>20.16</v>
      </c>
      <c r="BT2" t="s">
        <v>107</v>
      </c>
      <c r="BU2">
        <v>15.32</v>
      </c>
      <c r="BV2">
        <v>14.28</v>
      </c>
      <c r="BW2">
        <v>6.36</v>
      </c>
      <c r="BX2" t="s">
        <v>107</v>
      </c>
      <c r="BY2">
        <v>11.73</v>
      </c>
      <c r="BZ2" t="s">
        <v>107</v>
      </c>
      <c r="CA2">
        <v>8.15</v>
      </c>
      <c r="CB2" t="s">
        <v>107</v>
      </c>
      <c r="CC2">
        <v>9.34</v>
      </c>
      <c r="CD2">
        <v>472999</v>
      </c>
      <c r="CE2">
        <v>2995.89</v>
      </c>
      <c r="CF2">
        <v>13.91</v>
      </c>
      <c r="CG2">
        <v>2.2000000000000002</v>
      </c>
      <c r="CH2" t="s">
        <v>107</v>
      </c>
      <c r="CI2">
        <v>6.28</v>
      </c>
      <c r="CJ2" t="s">
        <v>107</v>
      </c>
      <c r="CK2">
        <v>1.5</v>
      </c>
      <c r="CL2" t="s">
        <v>107</v>
      </c>
      <c r="CM2">
        <v>1.5</v>
      </c>
      <c r="CN2" t="s">
        <v>107</v>
      </c>
      <c r="CO2">
        <v>1.5</v>
      </c>
      <c r="CP2">
        <v>70871.13</v>
      </c>
      <c r="CQ2">
        <v>2415.14</v>
      </c>
      <c r="CR2">
        <v>2118.21</v>
      </c>
      <c r="CS2">
        <v>332.01</v>
      </c>
      <c r="CT2">
        <v>260272.98</v>
      </c>
      <c r="CU2">
        <v>1932.9</v>
      </c>
      <c r="CV2" s="16">
        <f>CT2/10^4</f>
        <v>26.027298000000002</v>
      </c>
      <c r="CW2" t="s">
        <v>107</v>
      </c>
      <c r="CX2">
        <v>64.98</v>
      </c>
      <c r="CY2">
        <v>10773.86</v>
      </c>
      <c r="CZ2">
        <v>5644.39</v>
      </c>
    </row>
    <row r="3" spans="1:104" x14ac:dyDescent="0.2">
      <c r="A3">
        <v>2</v>
      </c>
      <c r="B3">
        <v>1674</v>
      </c>
      <c r="C3" s="1">
        <v>42087.676388888889</v>
      </c>
      <c r="D3" t="s">
        <v>102</v>
      </c>
      <c r="E3">
        <v>121</v>
      </c>
      <c r="F3" t="s">
        <v>103</v>
      </c>
      <c r="G3">
        <v>2</v>
      </c>
      <c r="H3" t="s">
        <v>104</v>
      </c>
      <c r="I3" t="s">
        <v>105</v>
      </c>
      <c r="J3" t="s">
        <v>108</v>
      </c>
      <c r="O3">
        <v>252.04</v>
      </c>
      <c r="P3">
        <v>5.78</v>
      </c>
      <c r="Q3">
        <v>157.12</v>
      </c>
      <c r="R3">
        <f t="shared" ref="R3:R34" si="0">Q3/10^4</f>
        <v>1.5712E-2</v>
      </c>
      <c r="S3">
        <v>4.75</v>
      </c>
      <c r="T3">
        <v>321.82</v>
      </c>
      <c r="U3">
        <v>6.48</v>
      </c>
      <c r="V3" t="s">
        <v>107</v>
      </c>
      <c r="W3">
        <v>7.35</v>
      </c>
      <c r="X3">
        <v>21.28</v>
      </c>
      <c r="Y3">
        <v>1.51</v>
      </c>
      <c r="Z3" t="s">
        <v>107</v>
      </c>
      <c r="AA3">
        <v>5.2</v>
      </c>
      <c r="AB3">
        <v>14.53</v>
      </c>
      <c r="AC3">
        <v>4.5</v>
      </c>
      <c r="AD3" t="s">
        <v>107</v>
      </c>
      <c r="AE3">
        <v>7.34</v>
      </c>
      <c r="AF3" t="s">
        <v>107</v>
      </c>
      <c r="AG3">
        <v>4</v>
      </c>
      <c r="AH3" t="s">
        <v>107</v>
      </c>
      <c r="AI3">
        <v>5.16</v>
      </c>
      <c r="AJ3" t="s">
        <v>107</v>
      </c>
      <c r="AK3">
        <v>11.06</v>
      </c>
      <c r="AL3">
        <v>110</v>
      </c>
      <c r="AM3">
        <v>12.41</v>
      </c>
      <c r="AN3" t="s">
        <v>107</v>
      </c>
      <c r="AO3">
        <v>46.68</v>
      </c>
      <c r="AP3">
        <v>21.96</v>
      </c>
      <c r="AQ3">
        <v>14.56</v>
      </c>
      <c r="AR3">
        <v>62.53</v>
      </c>
      <c r="AS3">
        <v>27.31</v>
      </c>
      <c r="AT3">
        <v>295.93</v>
      </c>
      <c r="AU3">
        <v>182.97</v>
      </c>
      <c r="AV3">
        <v>95571.7</v>
      </c>
      <c r="AW3">
        <v>702.36</v>
      </c>
      <c r="AX3">
        <v>1619.72</v>
      </c>
      <c r="AY3">
        <v>98</v>
      </c>
      <c r="AZ3" t="s">
        <v>107</v>
      </c>
      <c r="BA3">
        <v>23.33</v>
      </c>
      <c r="BB3">
        <v>377.5</v>
      </c>
      <c r="BC3">
        <v>59.68</v>
      </c>
      <c r="BD3">
        <v>12748.77</v>
      </c>
      <c r="BE3">
        <v>218.07</v>
      </c>
      <c r="BF3">
        <v>120.97</v>
      </c>
      <c r="BG3">
        <v>69.19</v>
      </c>
      <c r="BH3">
        <v>54726.82</v>
      </c>
      <c r="BI3">
        <v>1126.47</v>
      </c>
      <c r="BJ3">
        <v>14484.8</v>
      </c>
      <c r="BK3">
        <v>414.87</v>
      </c>
      <c r="BL3" t="s">
        <v>107</v>
      </c>
      <c r="BM3">
        <v>406.99</v>
      </c>
      <c r="BN3">
        <v>975.4</v>
      </c>
      <c r="BO3">
        <v>49.17</v>
      </c>
      <c r="BP3">
        <v>46.54</v>
      </c>
      <c r="BQ3">
        <v>7.46</v>
      </c>
      <c r="BR3">
        <v>66.31</v>
      </c>
      <c r="BS3">
        <v>21.44</v>
      </c>
      <c r="BT3" t="s">
        <v>107</v>
      </c>
      <c r="BU3">
        <v>15.98</v>
      </c>
      <c r="BV3">
        <v>13.08</v>
      </c>
      <c r="BW3">
        <v>6.63</v>
      </c>
      <c r="BX3" t="s">
        <v>107</v>
      </c>
      <c r="BY3">
        <v>12.05</v>
      </c>
      <c r="BZ3">
        <v>8.61</v>
      </c>
      <c r="CA3">
        <v>5.72</v>
      </c>
      <c r="CB3" t="s">
        <v>107</v>
      </c>
      <c r="CC3">
        <v>9.82</v>
      </c>
      <c r="CD3">
        <v>470466.97</v>
      </c>
      <c r="CE3">
        <v>2639.61</v>
      </c>
      <c r="CF3">
        <v>12.87</v>
      </c>
      <c r="CG3">
        <v>1.9</v>
      </c>
      <c r="CH3" t="s">
        <v>107</v>
      </c>
      <c r="CI3">
        <v>5.54</v>
      </c>
      <c r="CJ3" t="s">
        <v>107</v>
      </c>
      <c r="CK3">
        <v>1.5</v>
      </c>
      <c r="CL3" t="s">
        <v>107</v>
      </c>
      <c r="CM3">
        <v>1.5</v>
      </c>
      <c r="CN3" t="s">
        <v>107</v>
      </c>
      <c r="CO3">
        <v>1.5</v>
      </c>
      <c r="CP3">
        <v>70523.45</v>
      </c>
      <c r="CQ3">
        <v>2239.4899999999998</v>
      </c>
      <c r="CR3">
        <v>1927.19</v>
      </c>
      <c r="CS3">
        <v>306.12</v>
      </c>
      <c r="CT3">
        <v>261361.48</v>
      </c>
      <c r="CU3">
        <v>1777.04</v>
      </c>
      <c r="CV3" s="16">
        <f t="shared" ref="CV3:CV34" si="1">CT3/10^4</f>
        <v>26.136148000000002</v>
      </c>
      <c r="CW3" t="s">
        <v>107</v>
      </c>
      <c r="CX3">
        <v>59.97</v>
      </c>
      <c r="CY3">
        <v>13904.87</v>
      </c>
      <c r="CZ3">
        <v>5386.26</v>
      </c>
    </row>
    <row r="4" spans="1:104" x14ac:dyDescent="0.2">
      <c r="A4">
        <v>3</v>
      </c>
      <c r="B4">
        <v>1675</v>
      </c>
      <c r="C4" s="1">
        <v>42087.679166666669</v>
      </c>
      <c r="D4" t="s">
        <v>102</v>
      </c>
      <c r="E4">
        <v>121</v>
      </c>
      <c r="F4" t="s">
        <v>103</v>
      </c>
      <c r="G4">
        <v>2</v>
      </c>
      <c r="H4" t="s">
        <v>104</v>
      </c>
      <c r="I4" t="s">
        <v>105</v>
      </c>
      <c r="J4" t="s">
        <v>109</v>
      </c>
      <c r="O4">
        <v>255.27</v>
      </c>
      <c r="P4">
        <v>5.86</v>
      </c>
      <c r="Q4">
        <v>156.79</v>
      </c>
      <c r="R4">
        <f t="shared" si="0"/>
        <v>1.5678999999999998E-2</v>
      </c>
      <c r="S4">
        <v>4.8099999999999996</v>
      </c>
      <c r="T4">
        <v>327.04000000000002</v>
      </c>
      <c r="U4">
        <v>6.6</v>
      </c>
      <c r="V4" t="s">
        <v>107</v>
      </c>
      <c r="W4">
        <v>7.43</v>
      </c>
      <c r="X4">
        <v>22.47</v>
      </c>
      <c r="Y4">
        <v>1.56</v>
      </c>
      <c r="Z4" t="s">
        <v>107</v>
      </c>
      <c r="AA4">
        <v>5.17</v>
      </c>
      <c r="AB4">
        <v>10.14</v>
      </c>
      <c r="AC4">
        <v>4.29</v>
      </c>
      <c r="AD4" t="s">
        <v>107</v>
      </c>
      <c r="AE4">
        <v>7.63</v>
      </c>
      <c r="AF4" t="s">
        <v>107</v>
      </c>
      <c r="AG4">
        <v>4.32</v>
      </c>
      <c r="AH4">
        <v>14.89</v>
      </c>
      <c r="AI4">
        <v>7.68</v>
      </c>
      <c r="AJ4" t="s">
        <v>107</v>
      </c>
      <c r="AK4">
        <v>11.14</v>
      </c>
      <c r="AL4">
        <v>111.72</v>
      </c>
      <c r="AM4">
        <v>12.56</v>
      </c>
      <c r="AN4" t="s">
        <v>107</v>
      </c>
      <c r="AO4">
        <v>45.61</v>
      </c>
      <c r="AP4">
        <v>26.3</v>
      </c>
      <c r="AQ4">
        <v>14.87</v>
      </c>
      <c r="AR4">
        <v>72.27</v>
      </c>
      <c r="AS4">
        <v>27.72</v>
      </c>
      <c r="AT4" t="s">
        <v>107</v>
      </c>
      <c r="AU4">
        <v>277.77999999999997</v>
      </c>
      <c r="AV4">
        <v>96386.67</v>
      </c>
      <c r="AW4">
        <v>713.18</v>
      </c>
      <c r="AX4">
        <v>1667.32</v>
      </c>
      <c r="AY4">
        <v>99.91</v>
      </c>
      <c r="AZ4">
        <v>143.37</v>
      </c>
      <c r="BA4">
        <v>32.799999999999997</v>
      </c>
      <c r="BB4">
        <v>404.11</v>
      </c>
      <c r="BC4">
        <v>61.62</v>
      </c>
      <c r="BD4">
        <v>12778.91</v>
      </c>
      <c r="BE4">
        <v>223.5</v>
      </c>
      <c r="BF4">
        <v>150.68</v>
      </c>
      <c r="BG4">
        <v>70.989999999999995</v>
      </c>
      <c r="BH4">
        <v>54674</v>
      </c>
      <c r="BI4">
        <v>1149.8900000000001</v>
      </c>
      <c r="BJ4">
        <v>14609.36</v>
      </c>
      <c r="BK4">
        <v>426.32</v>
      </c>
      <c r="BL4" t="s">
        <v>107</v>
      </c>
      <c r="BM4">
        <v>402.46</v>
      </c>
      <c r="BN4">
        <v>873.66</v>
      </c>
      <c r="BO4">
        <v>46.53</v>
      </c>
      <c r="BP4">
        <v>33.44</v>
      </c>
      <c r="BQ4">
        <v>7.09</v>
      </c>
      <c r="BR4">
        <v>44.12</v>
      </c>
      <c r="BS4">
        <v>20.329999999999998</v>
      </c>
      <c r="BT4" t="s">
        <v>107</v>
      </c>
      <c r="BU4">
        <v>15.36</v>
      </c>
      <c r="BV4" t="s">
        <v>107</v>
      </c>
      <c r="BW4">
        <v>9.4499999999999993</v>
      </c>
      <c r="BX4" t="s">
        <v>107</v>
      </c>
      <c r="BY4">
        <v>11.69</v>
      </c>
      <c r="BZ4" t="s">
        <v>107</v>
      </c>
      <c r="CA4">
        <v>8.19</v>
      </c>
      <c r="CB4" t="s">
        <v>107</v>
      </c>
      <c r="CC4">
        <v>9.24</v>
      </c>
      <c r="CD4">
        <v>468454.97</v>
      </c>
      <c r="CE4">
        <v>2671.66</v>
      </c>
      <c r="CF4">
        <v>14.12</v>
      </c>
      <c r="CG4">
        <v>1.95</v>
      </c>
      <c r="CH4" t="s">
        <v>107</v>
      </c>
      <c r="CI4">
        <v>5.77</v>
      </c>
      <c r="CJ4" t="s">
        <v>107</v>
      </c>
      <c r="CK4">
        <v>1.5</v>
      </c>
      <c r="CL4" t="s">
        <v>107</v>
      </c>
      <c r="CM4">
        <v>1.5</v>
      </c>
      <c r="CN4" t="s">
        <v>107</v>
      </c>
      <c r="CO4">
        <v>1.5</v>
      </c>
      <c r="CP4">
        <v>70712.75</v>
      </c>
      <c r="CQ4">
        <v>2341.71</v>
      </c>
      <c r="CR4">
        <v>2027.72</v>
      </c>
      <c r="CS4">
        <v>321.49</v>
      </c>
      <c r="CT4">
        <v>262144.75</v>
      </c>
      <c r="CU4">
        <v>1832.62</v>
      </c>
      <c r="CV4" s="16">
        <f t="shared" si="1"/>
        <v>26.214475</v>
      </c>
      <c r="CW4" t="s">
        <v>107</v>
      </c>
      <c r="CX4">
        <v>61.75</v>
      </c>
      <c r="CY4">
        <v>13702.51</v>
      </c>
      <c r="CZ4">
        <v>5634.61</v>
      </c>
    </row>
    <row r="5" spans="1:104" x14ac:dyDescent="0.2">
      <c r="A5">
        <v>4</v>
      </c>
      <c r="B5">
        <v>1676</v>
      </c>
      <c r="C5" s="1">
        <v>42087.681944444441</v>
      </c>
      <c r="D5" t="s">
        <v>102</v>
      </c>
      <c r="E5">
        <v>121</v>
      </c>
      <c r="F5" t="s">
        <v>103</v>
      </c>
      <c r="G5">
        <v>2</v>
      </c>
      <c r="H5" t="s">
        <v>104</v>
      </c>
      <c r="I5" t="s">
        <v>105</v>
      </c>
      <c r="J5" t="s">
        <v>110</v>
      </c>
      <c r="O5">
        <v>8.65</v>
      </c>
      <c r="P5">
        <v>3.13</v>
      </c>
      <c r="Q5">
        <v>699.39</v>
      </c>
      <c r="R5">
        <f t="shared" si="0"/>
        <v>6.9939000000000001E-2</v>
      </c>
      <c r="S5">
        <v>9.67</v>
      </c>
      <c r="T5">
        <v>231.35</v>
      </c>
      <c r="U5">
        <v>4.97</v>
      </c>
      <c r="V5" t="s">
        <v>107</v>
      </c>
      <c r="W5">
        <v>10.4</v>
      </c>
      <c r="X5">
        <v>120.54</v>
      </c>
      <c r="Y5">
        <v>3.01</v>
      </c>
      <c r="Z5">
        <v>104.96</v>
      </c>
      <c r="AA5">
        <v>6.31</v>
      </c>
      <c r="AB5">
        <v>41.2</v>
      </c>
      <c r="AC5">
        <v>5.83</v>
      </c>
      <c r="AD5" t="s">
        <v>107</v>
      </c>
      <c r="AE5">
        <v>6.41</v>
      </c>
      <c r="AF5" t="s">
        <v>107</v>
      </c>
      <c r="AG5">
        <v>3.84</v>
      </c>
      <c r="AH5" t="s">
        <v>107</v>
      </c>
      <c r="AI5">
        <v>6.27</v>
      </c>
      <c r="AJ5" t="s">
        <v>107</v>
      </c>
      <c r="AK5">
        <v>8.94</v>
      </c>
      <c r="AL5">
        <v>93.61</v>
      </c>
      <c r="AM5">
        <v>10.16</v>
      </c>
      <c r="AN5" t="s">
        <v>107</v>
      </c>
      <c r="AO5">
        <v>37.94</v>
      </c>
      <c r="AP5">
        <v>33.53</v>
      </c>
      <c r="AQ5">
        <v>12.27</v>
      </c>
      <c r="AR5" t="s">
        <v>107</v>
      </c>
      <c r="AS5">
        <v>30.53</v>
      </c>
      <c r="AT5" t="s">
        <v>107</v>
      </c>
      <c r="AU5">
        <v>133.07</v>
      </c>
      <c r="AV5">
        <v>34890.120000000003</v>
      </c>
      <c r="AW5">
        <v>339.87</v>
      </c>
      <c r="AX5">
        <v>275.38</v>
      </c>
      <c r="AY5">
        <v>50.46</v>
      </c>
      <c r="AZ5">
        <v>98.76</v>
      </c>
      <c r="BA5">
        <v>12.41</v>
      </c>
      <c r="BB5">
        <v>103.24</v>
      </c>
      <c r="BC5">
        <v>33.71</v>
      </c>
      <c r="BD5">
        <v>3526.71</v>
      </c>
      <c r="BE5">
        <v>104.56</v>
      </c>
      <c r="BF5" t="s">
        <v>107</v>
      </c>
      <c r="BG5">
        <v>43.58</v>
      </c>
      <c r="BH5">
        <v>16686.05</v>
      </c>
      <c r="BI5">
        <v>600.94000000000005</v>
      </c>
      <c r="BJ5">
        <v>41957.8</v>
      </c>
      <c r="BK5">
        <v>560.77</v>
      </c>
      <c r="BL5">
        <v>453.58</v>
      </c>
      <c r="BM5">
        <v>78.180000000000007</v>
      </c>
      <c r="BN5">
        <v>671.58</v>
      </c>
      <c r="BO5">
        <v>41.8</v>
      </c>
      <c r="BP5" t="s">
        <v>107</v>
      </c>
      <c r="BQ5">
        <v>8.17</v>
      </c>
      <c r="BR5" t="s">
        <v>107</v>
      </c>
      <c r="BS5">
        <v>23.18</v>
      </c>
      <c r="BT5" t="s">
        <v>107</v>
      </c>
      <c r="BU5">
        <v>11.77</v>
      </c>
      <c r="BV5" t="s">
        <v>107</v>
      </c>
      <c r="BW5">
        <v>7.33</v>
      </c>
      <c r="BX5" t="s">
        <v>107</v>
      </c>
      <c r="BY5">
        <v>9.11</v>
      </c>
      <c r="BZ5" t="s">
        <v>107</v>
      </c>
      <c r="CA5">
        <v>6.29</v>
      </c>
      <c r="CB5" t="s">
        <v>107</v>
      </c>
      <c r="CC5">
        <v>7.31</v>
      </c>
      <c r="CD5">
        <v>475608.63</v>
      </c>
      <c r="CE5">
        <v>2388.04</v>
      </c>
      <c r="CF5">
        <v>23.37</v>
      </c>
      <c r="CG5">
        <v>1.9</v>
      </c>
      <c r="CH5">
        <v>120.2</v>
      </c>
      <c r="CI5">
        <v>7.95</v>
      </c>
      <c r="CJ5" t="s">
        <v>107</v>
      </c>
      <c r="CK5">
        <v>1.5</v>
      </c>
      <c r="CL5" t="s">
        <v>107</v>
      </c>
      <c r="CM5">
        <v>1.5</v>
      </c>
      <c r="CN5" t="s">
        <v>107</v>
      </c>
      <c r="CO5">
        <v>1.5</v>
      </c>
      <c r="CP5">
        <v>71518.570000000007</v>
      </c>
      <c r="CQ5">
        <v>2005.02</v>
      </c>
      <c r="CR5">
        <v>1852.14</v>
      </c>
      <c r="CS5">
        <v>330.88</v>
      </c>
      <c r="CT5">
        <v>338714.5</v>
      </c>
      <c r="CU5">
        <v>1873.07</v>
      </c>
      <c r="CV5" s="16">
        <f t="shared" si="1"/>
        <v>33.871450000000003</v>
      </c>
      <c r="CW5" t="s">
        <v>107</v>
      </c>
      <c r="CX5">
        <v>61.08</v>
      </c>
      <c r="CY5">
        <v>12530.46</v>
      </c>
      <c r="CZ5">
        <v>4240.83</v>
      </c>
    </row>
    <row r="6" spans="1:104" x14ac:dyDescent="0.2">
      <c r="A6">
        <v>5</v>
      </c>
      <c r="B6">
        <v>1677</v>
      </c>
      <c r="C6" s="1">
        <v>42087.684027777781</v>
      </c>
      <c r="D6" t="s">
        <v>102</v>
      </c>
      <c r="E6">
        <v>121</v>
      </c>
      <c r="F6" t="s">
        <v>103</v>
      </c>
      <c r="G6">
        <v>2</v>
      </c>
      <c r="H6" t="s">
        <v>104</v>
      </c>
      <c r="I6" t="s">
        <v>105</v>
      </c>
      <c r="J6" t="s">
        <v>111</v>
      </c>
      <c r="O6">
        <v>10.199999999999999</v>
      </c>
      <c r="P6">
        <v>3.15</v>
      </c>
      <c r="Q6">
        <v>691.62</v>
      </c>
      <c r="R6">
        <f t="shared" si="0"/>
        <v>6.9162000000000001E-2</v>
      </c>
      <c r="S6">
        <v>9.64</v>
      </c>
      <c r="T6">
        <v>232.62</v>
      </c>
      <c r="U6">
        <v>4.99</v>
      </c>
      <c r="V6" t="s">
        <v>107</v>
      </c>
      <c r="W6">
        <v>10.46</v>
      </c>
      <c r="X6">
        <v>121.46</v>
      </c>
      <c r="Y6">
        <v>3.03</v>
      </c>
      <c r="Z6">
        <v>110.64</v>
      </c>
      <c r="AA6">
        <v>6.45</v>
      </c>
      <c r="AB6">
        <v>42.26</v>
      </c>
      <c r="AC6">
        <v>5.9</v>
      </c>
      <c r="AD6" t="s">
        <v>107</v>
      </c>
      <c r="AE6">
        <v>6.57</v>
      </c>
      <c r="AF6" t="s">
        <v>107</v>
      </c>
      <c r="AG6">
        <v>3.91</v>
      </c>
      <c r="AH6" t="s">
        <v>107</v>
      </c>
      <c r="AI6">
        <v>6.14</v>
      </c>
      <c r="AJ6" t="s">
        <v>107</v>
      </c>
      <c r="AK6">
        <v>9.19</v>
      </c>
      <c r="AL6">
        <v>110.41</v>
      </c>
      <c r="AM6">
        <v>11.25</v>
      </c>
      <c r="AN6" t="s">
        <v>107</v>
      </c>
      <c r="AO6">
        <v>37.799999999999997</v>
      </c>
      <c r="AP6">
        <v>33.340000000000003</v>
      </c>
      <c r="AQ6">
        <v>12.31</v>
      </c>
      <c r="AR6" t="s">
        <v>107</v>
      </c>
      <c r="AS6">
        <v>31.09</v>
      </c>
      <c r="AT6" t="s">
        <v>107</v>
      </c>
      <c r="AU6">
        <v>131.44999999999999</v>
      </c>
      <c r="AV6">
        <v>34965.03</v>
      </c>
      <c r="AW6">
        <v>341.39</v>
      </c>
      <c r="AX6">
        <v>301.04000000000002</v>
      </c>
      <c r="AY6">
        <v>51.02</v>
      </c>
      <c r="AZ6">
        <v>89.1</v>
      </c>
      <c r="BA6">
        <v>12.37</v>
      </c>
      <c r="BB6">
        <v>112.42</v>
      </c>
      <c r="BC6">
        <v>34.43</v>
      </c>
      <c r="BD6">
        <v>3505.63</v>
      </c>
      <c r="BE6">
        <v>106.25</v>
      </c>
      <c r="BF6" t="s">
        <v>107</v>
      </c>
      <c r="BG6">
        <v>44.58</v>
      </c>
      <c r="BH6">
        <v>17198.990000000002</v>
      </c>
      <c r="BI6">
        <v>607.13</v>
      </c>
      <c r="BJ6">
        <v>41996.66</v>
      </c>
      <c r="BK6">
        <v>565.21</v>
      </c>
      <c r="BL6">
        <v>433.05</v>
      </c>
      <c r="BM6">
        <v>79.84</v>
      </c>
      <c r="BN6">
        <v>666.27</v>
      </c>
      <c r="BO6">
        <v>40.869999999999997</v>
      </c>
      <c r="BP6" t="s">
        <v>107</v>
      </c>
      <c r="BQ6">
        <v>7.89</v>
      </c>
      <c r="BR6" t="s">
        <v>107</v>
      </c>
      <c r="BS6">
        <v>22.34</v>
      </c>
      <c r="BT6" t="s">
        <v>107</v>
      </c>
      <c r="BU6">
        <v>11.32</v>
      </c>
      <c r="BV6" t="s">
        <v>107</v>
      </c>
      <c r="BW6">
        <v>7</v>
      </c>
      <c r="BX6" t="s">
        <v>107</v>
      </c>
      <c r="BY6">
        <v>8.8699999999999992</v>
      </c>
      <c r="BZ6" t="s">
        <v>107</v>
      </c>
      <c r="CA6">
        <v>6.02</v>
      </c>
      <c r="CB6" t="s">
        <v>107</v>
      </c>
      <c r="CC6">
        <v>6.93</v>
      </c>
      <c r="CD6">
        <v>480851.31</v>
      </c>
      <c r="CE6">
        <v>2338.39</v>
      </c>
      <c r="CF6">
        <v>25.54</v>
      </c>
      <c r="CG6">
        <v>1.94</v>
      </c>
      <c r="CH6">
        <v>127.23</v>
      </c>
      <c r="CI6">
        <v>8.14</v>
      </c>
      <c r="CJ6" t="s">
        <v>107</v>
      </c>
      <c r="CK6">
        <v>1.5</v>
      </c>
      <c r="CL6" t="s">
        <v>107</v>
      </c>
      <c r="CM6">
        <v>1.5</v>
      </c>
      <c r="CN6" t="s">
        <v>107</v>
      </c>
      <c r="CO6">
        <v>1.5</v>
      </c>
      <c r="CP6">
        <v>70701.52</v>
      </c>
      <c r="CQ6">
        <v>1989.32</v>
      </c>
      <c r="CR6">
        <v>2094.52</v>
      </c>
      <c r="CS6">
        <v>341.54</v>
      </c>
      <c r="CT6">
        <v>340488.13</v>
      </c>
      <c r="CU6">
        <v>1897.69</v>
      </c>
      <c r="CV6" s="16">
        <f t="shared" si="1"/>
        <v>34.048813000000003</v>
      </c>
      <c r="CW6" t="s">
        <v>107</v>
      </c>
      <c r="CX6">
        <v>62.37</v>
      </c>
      <c r="CY6" t="s">
        <v>107</v>
      </c>
      <c r="CZ6">
        <v>5907.56</v>
      </c>
    </row>
    <row r="7" spans="1:104" x14ac:dyDescent="0.2">
      <c r="A7">
        <v>6</v>
      </c>
      <c r="B7">
        <v>1678</v>
      </c>
      <c r="C7" s="1">
        <v>42087.685416666667</v>
      </c>
      <c r="D7" t="s">
        <v>102</v>
      </c>
      <c r="E7">
        <v>121</v>
      </c>
      <c r="F7" t="s">
        <v>103</v>
      </c>
      <c r="G7">
        <v>2</v>
      </c>
      <c r="H7" t="s">
        <v>104</v>
      </c>
      <c r="I7" t="s">
        <v>105</v>
      </c>
      <c r="J7" t="s">
        <v>112</v>
      </c>
      <c r="O7">
        <v>9.09</v>
      </c>
      <c r="P7">
        <v>3.02</v>
      </c>
      <c r="Q7">
        <v>695.79</v>
      </c>
      <c r="R7">
        <f t="shared" si="0"/>
        <v>6.9579000000000002E-2</v>
      </c>
      <c r="S7">
        <v>9.2799999999999994</v>
      </c>
      <c r="T7">
        <v>230.88</v>
      </c>
      <c r="U7">
        <v>4.7699999999999996</v>
      </c>
      <c r="V7" t="s">
        <v>107</v>
      </c>
      <c r="W7">
        <v>10.09</v>
      </c>
      <c r="X7">
        <v>120.41</v>
      </c>
      <c r="Y7">
        <v>2.89</v>
      </c>
      <c r="Z7">
        <v>117.66</v>
      </c>
      <c r="AA7">
        <v>6.32</v>
      </c>
      <c r="AB7">
        <v>33.94</v>
      </c>
      <c r="AC7">
        <v>5.33</v>
      </c>
      <c r="AD7" t="s">
        <v>107</v>
      </c>
      <c r="AE7">
        <v>6.38</v>
      </c>
      <c r="AF7" t="s">
        <v>107</v>
      </c>
      <c r="AG7">
        <v>3.79</v>
      </c>
      <c r="AH7" t="s">
        <v>107</v>
      </c>
      <c r="AI7">
        <v>5.73</v>
      </c>
      <c r="AJ7" t="s">
        <v>107</v>
      </c>
      <c r="AK7">
        <v>8.4600000000000009</v>
      </c>
      <c r="AL7">
        <v>96.76</v>
      </c>
      <c r="AM7">
        <v>9.81</v>
      </c>
      <c r="AN7" t="s">
        <v>107</v>
      </c>
      <c r="AO7">
        <v>35.729999999999997</v>
      </c>
      <c r="AP7">
        <v>39.5</v>
      </c>
      <c r="AQ7">
        <v>12.02</v>
      </c>
      <c r="AR7" t="s">
        <v>107</v>
      </c>
      <c r="AS7">
        <v>30.05</v>
      </c>
      <c r="AT7" t="s">
        <v>107</v>
      </c>
      <c r="AU7">
        <v>127.46</v>
      </c>
      <c r="AV7">
        <v>35280.980000000003</v>
      </c>
      <c r="AW7">
        <v>328.91</v>
      </c>
      <c r="AX7">
        <v>245.55</v>
      </c>
      <c r="AY7">
        <v>47.54</v>
      </c>
      <c r="AZ7">
        <v>96.05</v>
      </c>
      <c r="BA7">
        <v>12.23</v>
      </c>
      <c r="BB7">
        <v>117.15</v>
      </c>
      <c r="BC7">
        <v>33.549999999999997</v>
      </c>
      <c r="BD7">
        <v>3518.19</v>
      </c>
      <c r="BE7">
        <v>103.5</v>
      </c>
      <c r="BF7" t="s">
        <v>107</v>
      </c>
      <c r="BG7">
        <v>43.44</v>
      </c>
      <c r="BH7">
        <v>16792.240000000002</v>
      </c>
      <c r="BI7">
        <v>595.11</v>
      </c>
      <c r="BJ7">
        <v>42092.59</v>
      </c>
      <c r="BK7">
        <v>553.61</v>
      </c>
      <c r="BL7">
        <v>417.14</v>
      </c>
      <c r="BM7">
        <v>82.19</v>
      </c>
      <c r="BN7">
        <v>680.03</v>
      </c>
      <c r="BO7">
        <v>40.520000000000003</v>
      </c>
      <c r="BP7" t="s">
        <v>107</v>
      </c>
      <c r="BQ7">
        <v>7.88</v>
      </c>
      <c r="BR7" t="s">
        <v>107</v>
      </c>
      <c r="BS7">
        <v>22.18</v>
      </c>
      <c r="BT7" t="s">
        <v>107</v>
      </c>
      <c r="BU7">
        <v>11.34</v>
      </c>
      <c r="BV7" t="s">
        <v>107</v>
      </c>
      <c r="BW7">
        <v>7.08</v>
      </c>
      <c r="BX7" t="s">
        <v>107</v>
      </c>
      <c r="BY7">
        <v>8.76</v>
      </c>
      <c r="BZ7" t="s">
        <v>107</v>
      </c>
      <c r="CA7">
        <v>6.09</v>
      </c>
      <c r="CB7" t="s">
        <v>107</v>
      </c>
      <c r="CC7">
        <v>6.95</v>
      </c>
      <c r="CD7">
        <v>478771.5</v>
      </c>
      <c r="CE7">
        <v>2260.4699999999998</v>
      </c>
      <c r="CF7">
        <v>26.54</v>
      </c>
      <c r="CG7">
        <v>1.88</v>
      </c>
      <c r="CH7">
        <v>135.03</v>
      </c>
      <c r="CI7">
        <v>7.94</v>
      </c>
      <c r="CJ7" t="s">
        <v>107</v>
      </c>
      <c r="CK7">
        <v>1.5</v>
      </c>
      <c r="CL7" t="s">
        <v>107</v>
      </c>
      <c r="CM7">
        <v>1.5</v>
      </c>
      <c r="CN7" t="s">
        <v>107</v>
      </c>
      <c r="CO7">
        <v>1.5</v>
      </c>
      <c r="CP7">
        <v>69775.25</v>
      </c>
      <c r="CQ7">
        <v>2055.25</v>
      </c>
      <c r="CR7">
        <v>2014.95</v>
      </c>
      <c r="CS7">
        <v>352.32</v>
      </c>
      <c r="CT7">
        <v>340490.88</v>
      </c>
      <c r="CU7">
        <v>1892.41</v>
      </c>
      <c r="CV7" s="16">
        <f t="shared" si="1"/>
        <v>34.049087999999998</v>
      </c>
      <c r="CW7" t="s">
        <v>107</v>
      </c>
      <c r="CX7">
        <v>63.95</v>
      </c>
      <c r="CY7">
        <v>8529.77</v>
      </c>
      <c r="CZ7">
        <v>4261.55</v>
      </c>
    </row>
    <row r="8" spans="1:104" x14ac:dyDescent="0.2">
      <c r="A8">
        <v>7</v>
      </c>
      <c r="B8">
        <v>1679</v>
      </c>
      <c r="C8" s="1">
        <v>42087.688194444447</v>
      </c>
      <c r="D8" t="s">
        <v>102</v>
      </c>
      <c r="E8">
        <v>121</v>
      </c>
      <c r="F8" t="s">
        <v>103</v>
      </c>
      <c r="G8">
        <v>2</v>
      </c>
      <c r="H8" t="s">
        <v>104</v>
      </c>
      <c r="I8" t="s">
        <v>105</v>
      </c>
      <c r="J8" t="s">
        <v>113</v>
      </c>
      <c r="O8">
        <v>5.04</v>
      </c>
      <c r="P8">
        <v>2.72</v>
      </c>
      <c r="Q8">
        <v>294.89</v>
      </c>
      <c r="R8">
        <f t="shared" si="0"/>
        <v>2.9488999999999998E-2</v>
      </c>
      <c r="S8">
        <v>7.51</v>
      </c>
      <c r="T8">
        <v>622.75</v>
      </c>
      <c r="U8">
        <v>8.09</v>
      </c>
      <c r="V8" t="s">
        <v>107</v>
      </c>
      <c r="W8">
        <v>7.48</v>
      </c>
      <c r="X8">
        <v>33.119999999999997</v>
      </c>
      <c r="Y8">
        <v>1.65</v>
      </c>
      <c r="Z8" t="s">
        <v>107</v>
      </c>
      <c r="AA8">
        <v>4.2300000000000004</v>
      </c>
      <c r="AB8">
        <v>16.170000000000002</v>
      </c>
      <c r="AC8">
        <v>4.25</v>
      </c>
      <c r="AD8" t="s">
        <v>107</v>
      </c>
      <c r="AE8">
        <v>6.27</v>
      </c>
      <c r="AF8" t="s">
        <v>107</v>
      </c>
      <c r="AG8">
        <v>3.56</v>
      </c>
      <c r="AH8" t="s">
        <v>107</v>
      </c>
      <c r="AI8">
        <v>4.6399999999999997</v>
      </c>
      <c r="AJ8" t="s">
        <v>107</v>
      </c>
      <c r="AK8">
        <v>9.26</v>
      </c>
      <c r="AL8">
        <v>73.239999999999995</v>
      </c>
      <c r="AM8">
        <v>10.16</v>
      </c>
      <c r="AN8" t="s">
        <v>107</v>
      </c>
      <c r="AO8">
        <v>39.619999999999997</v>
      </c>
      <c r="AP8">
        <v>49.53</v>
      </c>
      <c r="AQ8">
        <v>13.15</v>
      </c>
      <c r="AR8">
        <v>50.98</v>
      </c>
      <c r="AS8">
        <v>22.36</v>
      </c>
      <c r="AT8" t="s">
        <v>107</v>
      </c>
      <c r="AU8">
        <v>159.91999999999999</v>
      </c>
      <c r="AV8">
        <v>47478.67</v>
      </c>
      <c r="AW8">
        <v>410.97</v>
      </c>
      <c r="AX8">
        <v>667.11</v>
      </c>
      <c r="AY8">
        <v>63.45</v>
      </c>
      <c r="AZ8">
        <v>110.87</v>
      </c>
      <c r="BA8">
        <v>24.06</v>
      </c>
      <c r="BB8">
        <v>119.51</v>
      </c>
      <c r="BC8">
        <v>37.64</v>
      </c>
      <c r="BD8">
        <v>5836.43</v>
      </c>
      <c r="BE8">
        <v>124.72</v>
      </c>
      <c r="BF8">
        <v>94.94</v>
      </c>
      <c r="BG8">
        <v>49.12</v>
      </c>
      <c r="BH8">
        <v>39775.199999999997</v>
      </c>
      <c r="BI8">
        <v>836.77</v>
      </c>
      <c r="BJ8">
        <v>21774.01</v>
      </c>
      <c r="BK8">
        <v>423.15</v>
      </c>
      <c r="BL8" t="s">
        <v>107</v>
      </c>
      <c r="BM8">
        <v>273.08</v>
      </c>
      <c r="BN8">
        <v>867.39</v>
      </c>
      <c r="BO8">
        <v>38.81</v>
      </c>
      <c r="BP8" t="s">
        <v>107</v>
      </c>
      <c r="BQ8">
        <v>8.59</v>
      </c>
      <c r="BR8" t="s">
        <v>107</v>
      </c>
      <c r="BS8">
        <v>24.55</v>
      </c>
      <c r="BT8" t="s">
        <v>107</v>
      </c>
      <c r="BU8">
        <v>12.4</v>
      </c>
      <c r="BV8" t="s">
        <v>107</v>
      </c>
      <c r="BW8">
        <v>7.69</v>
      </c>
      <c r="BX8" t="s">
        <v>107</v>
      </c>
      <c r="BY8">
        <v>9.56</v>
      </c>
      <c r="BZ8" t="s">
        <v>107</v>
      </c>
      <c r="CA8">
        <v>6.48</v>
      </c>
      <c r="CB8" t="s">
        <v>107</v>
      </c>
      <c r="CC8">
        <v>7.38</v>
      </c>
      <c r="CD8">
        <v>500185.78</v>
      </c>
      <c r="CE8">
        <v>2357.36</v>
      </c>
      <c r="CF8">
        <v>13.26</v>
      </c>
      <c r="CG8">
        <v>1.73</v>
      </c>
      <c r="CH8" t="s">
        <v>107</v>
      </c>
      <c r="CI8">
        <v>4.82</v>
      </c>
      <c r="CJ8" t="s">
        <v>107</v>
      </c>
      <c r="CK8">
        <v>1.5</v>
      </c>
      <c r="CL8" t="s">
        <v>107</v>
      </c>
      <c r="CM8">
        <v>1.5</v>
      </c>
      <c r="CN8" t="s">
        <v>107</v>
      </c>
      <c r="CO8">
        <v>1.5</v>
      </c>
      <c r="CP8">
        <v>73793.47</v>
      </c>
      <c r="CQ8">
        <v>2215.12</v>
      </c>
      <c r="CR8">
        <v>2786.28</v>
      </c>
      <c r="CS8">
        <v>339.65</v>
      </c>
      <c r="CT8">
        <v>293989.53000000003</v>
      </c>
      <c r="CU8">
        <v>1874.39</v>
      </c>
      <c r="CV8" s="16">
        <f t="shared" si="1"/>
        <v>29.398953000000002</v>
      </c>
      <c r="CW8" t="s">
        <v>107</v>
      </c>
      <c r="CX8">
        <v>60.23</v>
      </c>
      <c r="CY8">
        <v>11850.15</v>
      </c>
      <c r="CZ8">
        <v>4727.1400000000003</v>
      </c>
    </row>
    <row r="9" spans="1:104" x14ac:dyDescent="0.2">
      <c r="A9">
        <v>8</v>
      </c>
      <c r="B9">
        <v>1680</v>
      </c>
      <c r="C9" s="1">
        <v>42087.69027777778</v>
      </c>
      <c r="D9" t="s">
        <v>102</v>
      </c>
      <c r="E9">
        <v>121</v>
      </c>
      <c r="F9" t="s">
        <v>103</v>
      </c>
      <c r="G9">
        <v>2</v>
      </c>
      <c r="H9" t="s">
        <v>104</v>
      </c>
      <c r="I9" t="s">
        <v>105</v>
      </c>
      <c r="J9" t="s">
        <v>114</v>
      </c>
      <c r="O9">
        <v>6.23</v>
      </c>
      <c r="P9">
        <v>2.73</v>
      </c>
      <c r="Q9">
        <v>294.88</v>
      </c>
      <c r="R9">
        <f t="shared" si="0"/>
        <v>2.9488E-2</v>
      </c>
      <c r="S9">
        <v>7.44</v>
      </c>
      <c r="T9">
        <v>612.97</v>
      </c>
      <c r="U9">
        <v>7.97</v>
      </c>
      <c r="V9" t="s">
        <v>107</v>
      </c>
      <c r="W9">
        <v>7.6</v>
      </c>
      <c r="X9">
        <v>32.729999999999997</v>
      </c>
      <c r="Y9">
        <v>1.63</v>
      </c>
      <c r="Z9" t="s">
        <v>107</v>
      </c>
      <c r="AA9">
        <v>4.3499999999999996</v>
      </c>
      <c r="AB9">
        <v>14.12</v>
      </c>
      <c r="AC9">
        <v>4.09</v>
      </c>
      <c r="AD9" t="s">
        <v>107</v>
      </c>
      <c r="AE9">
        <v>6.44</v>
      </c>
      <c r="AF9" t="s">
        <v>107</v>
      </c>
      <c r="AG9">
        <v>3.52</v>
      </c>
      <c r="AH9" t="s">
        <v>107</v>
      </c>
      <c r="AI9">
        <v>4.45</v>
      </c>
      <c r="AJ9" t="s">
        <v>107</v>
      </c>
      <c r="AK9">
        <v>9.17</v>
      </c>
      <c r="AL9">
        <v>66.83</v>
      </c>
      <c r="AM9">
        <v>9.94</v>
      </c>
      <c r="AN9" t="s">
        <v>107</v>
      </c>
      <c r="AO9">
        <v>39.1</v>
      </c>
      <c r="AP9">
        <v>50.32</v>
      </c>
      <c r="AQ9">
        <v>13.08</v>
      </c>
      <c r="AR9">
        <v>41.96</v>
      </c>
      <c r="AS9">
        <v>21.91</v>
      </c>
      <c r="AT9" t="s">
        <v>107</v>
      </c>
      <c r="AU9">
        <v>158.25</v>
      </c>
      <c r="AV9">
        <v>47847.839999999997</v>
      </c>
      <c r="AW9">
        <v>411.25</v>
      </c>
      <c r="AX9">
        <v>705.1</v>
      </c>
      <c r="AY9">
        <v>63.78</v>
      </c>
      <c r="AZ9">
        <v>128.91</v>
      </c>
      <c r="BA9">
        <v>23.82</v>
      </c>
      <c r="BB9">
        <v>154.91999999999999</v>
      </c>
      <c r="BC9">
        <v>38.79</v>
      </c>
      <c r="BD9">
        <v>5761.09</v>
      </c>
      <c r="BE9">
        <v>126.32</v>
      </c>
      <c r="BF9">
        <v>89.86</v>
      </c>
      <c r="BG9">
        <v>49.37</v>
      </c>
      <c r="BH9">
        <v>39892.300000000003</v>
      </c>
      <c r="BI9">
        <v>845.75</v>
      </c>
      <c r="BJ9">
        <v>21950.01</v>
      </c>
      <c r="BK9">
        <v>427.3</v>
      </c>
      <c r="BL9" t="s">
        <v>107</v>
      </c>
      <c r="BM9">
        <v>267.18</v>
      </c>
      <c r="BN9">
        <v>875.83</v>
      </c>
      <c r="BO9">
        <v>40.630000000000003</v>
      </c>
      <c r="BP9" t="s">
        <v>107</v>
      </c>
      <c r="BQ9">
        <v>9</v>
      </c>
      <c r="BR9" t="s">
        <v>107</v>
      </c>
      <c r="BS9">
        <v>25.82</v>
      </c>
      <c r="BT9" t="s">
        <v>107</v>
      </c>
      <c r="BU9">
        <v>13.06</v>
      </c>
      <c r="BV9" t="s">
        <v>107</v>
      </c>
      <c r="BW9">
        <v>8.09</v>
      </c>
      <c r="BX9" t="s">
        <v>107</v>
      </c>
      <c r="BY9">
        <v>9.9</v>
      </c>
      <c r="BZ9" t="s">
        <v>107</v>
      </c>
      <c r="CA9">
        <v>6.95</v>
      </c>
      <c r="CB9" t="s">
        <v>107</v>
      </c>
      <c r="CC9">
        <v>8</v>
      </c>
      <c r="CD9">
        <v>519049.13</v>
      </c>
      <c r="CE9">
        <v>2224.96</v>
      </c>
      <c r="CF9">
        <v>12.4</v>
      </c>
      <c r="CG9">
        <v>1.7</v>
      </c>
      <c r="CH9" t="s">
        <v>107</v>
      </c>
      <c r="CI9">
        <v>5.56</v>
      </c>
      <c r="CJ9" t="s">
        <v>107</v>
      </c>
      <c r="CK9">
        <v>1.5</v>
      </c>
      <c r="CL9" t="s">
        <v>107</v>
      </c>
      <c r="CM9">
        <v>1.5</v>
      </c>
      <c r="CN9" t="s">
        <v>107</v>
      </c>
      <c r="CO9">
        <v>1.5</v>
      </c>
      <c r="CP9">
        <v>70205.11</v>
      </c>
      <c r="CQ9">
        <v>2092.98</v>
      </c>
      <c r="CR9">
        <v>2881.52</v>
      </c>
      <c r="CS9">
        <v>340.19</v>
      </c>
      <c r="CT9">
        <v>289788.81</v>
      </c>
      <c r="CU9">
        <v>1874.27</v>
      </c>
      <c r="CV9" s="16">
        <f t="shared" si="1"/>
        <v>28.978881000000001</v>
      </c>
      <c r="CW9" t="s">
        <v>107</v>
      </c>
      <c r="CX9">
        <v>60.55</v>
      </c>
      <c r="CY9" t="s">
        <v>107</v>
      </c>
      <c r="CZ9">
        <v>6236.79</v>
      </c>
    </row>
    <row r="10" spans="1:104" x14ac:dyDescent="0.2">
      <c r="A10">
        <v>9</v>
      </c>
      <c r="B10">
        <v>1681</v>
      </c>
      <c r="C10" s="1">
        <v>42087.693055555559</v>
      </c>
      <c r="D10" t="s">
        <v>102</v>
      </c>
      <c r="E10">
        <v>121</v>
      </c>
      <c r="F10" t="s">
        <v>103</v>
      </c>
      <c r="G10">
        <v>2</v>
      </c>
      <c r="H10" t="s">
        <v>104</v>
      </c>
      <c r="I10" t="s">
        <v>105</v>
      </c>
      <c r="J10" t="s">
        <v>115</v>
      </c>
      <c r="O10">
        <v>4.32</v>
      </c>
      <c r="P10">
        <v>2.88</v>
      </c>
      <c r="Q10">
        <v>293.14999999999998</v>
      </c>
      <c r="R10">
        <f t="shared" si="0"/>
        <v>2.9314999999999997E-2</v>
      </c>
      <c r="S10">
        <v>7.92</v>
      </c>
      <c r="T10">
        <v>619.11</v>
      </c>
      <c r="U10">
        <v>8.52</v>
      </c>
      <c r="V10" t="s">
        <v>107</v>
      </c>
      <c r="W10">
        <v>8.19</v>
      </c>
      <c r="X10">
        <v>33.74</v>
      </c>
      <c r="Y10">
        <v>1.76</v>
      </c>
      <c r="Z10" t="s">
        <v>107</v>
      </c>
      <c r="AA10">
        <v>4.68</v>
      </c>
      <c r="AB10">
        <v>11.47</v>
      </c>
      <c r="AC10">
        <v>4.1900000000000004</v>
      </c>
      <c r="AD10" t="s">
        <v>107</v>
      </c>
      <c r="AE10">
        <v>6.77</v>
      </c>
      <c r="AF10" t="s">
        <v>107</v>
      </c>
      <c r="AG10">
        <v>3.73</v>
      </c>
      <c r="AH10" t="s">
        <v>107</v>
      </c>
      <c r="AI10">
        <v>10.99</v>
      </c>
      <c r="AJ10" t="s">
        <v>107</v>
      </c>
      <c r="AK10">
        <v>9.6300000000000008</v>
      </c>
      <c r="AL10">
        <v>66.53</v>
      </c>
      <c r="AM10">
        <v>10.5</v>
      </c>
      <c r="AN10" t="s">
        <v>107</v>
      </c>
      <c r="AO10">
        <v>40.07</v>
      </c>
      <c r="AP10">
        <v>50.26</v>
      </c>
      <c r="AQ10">
        <v>13.92</v>
      </c>
      <c r="AR10">
        <v>55.41</v>
      </c>
      <c r="AS10">
        <v>23.57</v>
      </c>
      <c r="AT10" t="s">
        <v>107</v>
      </c>
      <c r="AU10">
        <v>167.27</v>
      </c>
      <c r="AV10">
        <v>47393.98</v>
      </c>
      <c r="AW10">
        <v>433.72</v>
      </c>
      <c r="AX10">
        <v>596.35</v>
      </c>
      <c r="AY10">
        <v>65.05</v>
      </c>
      <c r="AZ10">
        <v>123.3</v>
      </c>
      <c r="BA10">
        <v>23.86</v>
      </c>
      <c r="BB10">
        <v>187.14</v>
      </c>
      <c r="BC10">
        <v>54.36</v>
      </c>
      <c r="BD10">
        <v>5775.18</v>
      </c>
      <c r="BE10">
        <v>124.57</v>
      </c>
      <c r="BF10">
        <v>123.79</v>
      </c>
      <c r="BG10">
        <v>49.55</v>
      </c>
      <c r="BH10">
        <v>39804.49</v>
      </c>
      <c r="BI10">
        <v>844.69</v>
      </c>
      <c r="BJ10">
        <v>21665.13</v>
      </c>
      <c r="BK10">
        <v>424.79</v>
      </c>
      <c r="BL10" t="s">
        <v>107</v>
      </c>
      <c r="BM10">
        <v>260.2</v>
      </c>
      <c r="BN10">
        <v>885.01</v>
      </c>
      <c r="BO10">
        <v>39.74</v>
      </c>
      <c r="BP10" t="s">
        <v>107</v>
      </c>
      <c r="BQ10">
        <v>8.77</v>
      </c>
      <c r="BR10" t="s">
        <v>107</v>
      </c>
      <c r="BS10">
        <v>25.26</v>
      </c>
      <c r="BT10" t="s">
        <v>107</v>
      </c>
      <c r="BU10">
        <v>12.72</v>
      </c>
      <c r="BV10" t="s">
        <v>107</v>
      </c>
      <c r="BW10">
        <v>7.79</v>
      </c>
      <c r="BX10" t="s">
        <v>107</v>
      </c>
      <c r="BY10">
        <v>9.5299999999999994</v>
      </c>
      <c r="BZ10" t="s">
        <v>107</v>
      </c>
      <c r="CA10">
        <v>6.67</v>
      </c>
      <c r="CB10" t="s">
        <v>107</v>
      </c>
      <c r="CC10">
        <v>7.75</v>
      </c>
      <c r="CD10">
        <v>506609.16</v>
      </c>
      <c r="CE10">
        <v>2454.16</v>
      </c>
      <c r="CF10">
        <v>13.78</v>
      </c>
      <c r="CG10">
        <v>1.84</v>
      </c>
      <c r="CH10" t="s">
        <v>107</v>
      </c>
      <c r="CI10">
        <v>6.85</v>
      </c>
      <c r="CJ10" t="s">
        <v>107</v>
      </c>
      <c r="CK10">
        <v>1.5</v>
      </c>
      <c r="CL10" t="s">
        <v>107</v>
      </c>
      <c r="CM10">
        <v>1.5</v>
      </c>
      <c r="CN10" t="s">
        <v>107</v>
      </c>
      <c r="CO10">
        <v>1.5</v>
      </c>
      <c r="CP10">
        <v>72928.31</v>
      </c>
      <c r="CQ10">
        <v>2069.54</v>
      </c>
      <c r="CR10">
        <v>2967.19</v>
      </c>
      <c r="CS10">
        <v>321.22000000000003</v>
      </c>
      <c r="CT10">
        <v>291601.63</v>
      </c>
      <c r="CU10">
        <v>1854.46</v>
      </c>
      <c r="CV10" s="16">
        <f t="shared" si="1"/>
        <v>29.160163000000001</v>
      </c>
      <c r="CW10" t="s">
        <v>107</v>
      </c>
      <c r="CX10">
        <v>56.67</v>
      </c>
      <c r="CY10">
        <v>8795.2900000000009</v>
      </c>
      <c r="CZ10">
        <v>4286.4399999999996</v>
      </c>
    </row>
    <row r="11" spans="1:104" x14ac:dyDescent="0.2">
      <c r="A11">
        <v>10</v>
      </c>
      <c r="B11">
        <v>1682</v>
      </c>
      <c r="C11" s="1">
        <v>42087.695833333331</v>
      </c>
      <c r="D11" t="s">
        <v>102</v>
      </c>
      <c r="E11">
        <v>121</v>
      </c>
      <c r="F11" t="s">
        <v>103</v>
      </c>
      <c r="G11">
        <v>2</v>
      </c>
      <c r="H11" t="s">
        <v>104</v>
      </c>
      <c r="I11" t="s">
        <v>105</v>
      </c>
      <c r="J11" t="s">
        <v>116</v>
      </c>
      <c r="O11">
        <v>448.67</v>
      </c>
      <c r="P11">
        <v>11.57</v>
      </c>
      <c r="Q11">
        <v>211.96</v>
      </c>
      <c r="R11">
        <f t="shared" si="0"/>
        <v>2.1196E-2</v>
      </c>
      <c r="S11">
        <v>9.07</v>
      </c>
      <c r="T11">
        <v>399.16</v>
      </c>
      <c r="U11">
        <v>10.85</v>
      </c>
      <c r="V11" t="s">
        <v>107</v>
      </c>
      <c r="W11">
        <v>300000</v>
      </c>
      <c r="X11">
        <v>10.06</v>
      </c>
      <c r="Y11">
        <v>2.0299999999999998</v>
      </c>
      <c r="Z11" t="s">
        <v>107</v>
      </c>
      <c r="AA11">
        <v>300000</v>
      </c>
      <c r="AB11">
        <v>429.04</v>
      </c>
      <c r="AC11">
        <v>29.42</v>
      </c>
      <c r="AD11" t="s">
        <v>107</v>
      </c>
      <c r="AE11">
        <v>300000</v>
      </c>
      <c r="AF11" t="s">
        <v>107</v>
      </c>
      <c r="AG11">
        <v>300000</v>
      </c>
      <c r="AH11">
        <v>152.36000000000001</v>
      </c>
      <c r="AI11">
        <v>42.66</v>
      </c>
      <c r="AJ11" t="s">
        <v>107</v>
      </c>
      <c r="AK11">
        <v>300000</v>
      </c>
      <c r="AL11">
        <v>1241.54</v>
      </c>
      <c r="AM11">
        <v>56.09</v>
      </c>
      <c r="AN11" t="s">
        <v>107</v>
      </c>
      <c r="AO11">
        <v>300000</v>
      </c>
      <c r="AP11">
        <v>9495.7099999999991</v>
      </c>
      <c r="AQ11">
        <v>195.8</v>
      </c>
      <c r="AR11">
        <v>11426.02</v>
      </c>
      <c r="AS11">
        <v>245.88</v>
      </c>
      <c r="AT11" t="s">
        <v>107</v>
      </c>
      <c r="AU11">
        <v>300000</v>
      </c>
      <c r="AV11">
        <v>60973.38</v>
      </c>
      <c r="AW11">
        <v>681.1</v>
      </c>
      <c r="AX11">
        <v>328257.28000000003</v>
      </c>
      <c r="AY11">
        <v>2586.09</v>
      </c>
      <c r="AZ11">
        <v>105.76</v>
      </c>
      <c r="BA11">
        <v>43.03</v>
      </c>
      <c r="BB11">
        <v>515.5</v>
      </c>
      <c r="BC11">
        <v>98.87</v>
      </c>
      <c r="BD11">
        <v>3258.94</v>
      </c>
      <c r="BE11">
        <v>263.08</v>
      </c>
      <c r="BF11" t="s">
        <v>107</v>
      </c>
      <c r="BG11">
        <v>112.73</v>
      </c>
      <c r="BH11">
        <v>22682.3</v>
      </c>
      <c r="BI11">
        <v>1051.69</v>
      </c>
      <c r="BJ11">
        <v>13563.41</v>
      </c>
      <c r="BK11">
        <v>555.13</v>
      </c>
      <c r="BL11">
        <v>1701.48</v>
      </c>
      <c r="BM11">
        <v>129.91999999999999</v>
      </c>
      <c r="BN11">
        <v>3318.74</v>
      </c>
      <c r="BO11">
        <v>92.92</v>
      </c>
      <c r="BP11">
        <v>76.680000000000007</v>
      </c>
      <c r="BQ11">
        <v>11.37</v>
      </c>
      <c r="BR11">
        <v>96</v>
      </c>
      <c r="BS11">
        <v>32.090000000000003</v>
      </c>
      <c r="BT11">
        <v>78.91</v>
      </c>
      <c r="BU11">
        <v>17.18</v>
      </c>
      <c r="BV11">
        <v>25.5</v>
      </c>
      <c r="BW11">
        <v>10.09</v>
      </c>
      <c r="BX11">
        <v>53.7</v>
      </c>
      <c r="BY11">
        <v>13.26</v>
      </c>
      <c r="BZ11">
        <v>14.75</v>
      </c>
      <c r="CA11">
        <v>8.7200000000000006</v>
      </c>
      <c r="CB11" t="s">
        <v>107</v>
      </c>
      <c r="CC11">
        <v>14.78</v>
      </c>
      <c r="CD11">
        <v>430240.59</v>
      </c>
      <c r="CE11">
        <v>4410.21</v>
      </c>
      <c r="CF11">
        <v>19.88</v>
      </c>
      <c r="CG11">
        <v>3.38</v>
      </c>
      <c r="CH11" t="s">
        <v>107</v>
      </c>
      <c r="CI11">
        <v>14.5</v>
      </c>
      <c r="CJ11" t="s">
        <v>107</v>
      </c>
      <c r="CK11">
        <v>1.5</v>
      </c>
      <c r="CL11" t="s">
        <v>107</v>
      </c>
      <c r="CM11">
        <v>1.5</v>
      </c>
      <c r="CN11" t="s">
        <v>107</v>
      </c>
      <c r="CO11">
        <v>1.5</v>
      </c>
      <c r="CP11">
        <v>27622.92</v>
      </c>
      <c r="CQ11">
        <v>2221.6799999999998</v>
      </c>
      <c r="CR11">
        <v>2404.9499999999998</v>
      </c>
      <c r="CS11">
        <v>256.05</v>
      </c>
      <c r="CT11">
        <v>67147.88</v>
      </c>
      <c r="CU11">
        <v>1259.92</v>
      </c>
      <c r="CV11" s="16">
        <f t="shared" si="1"/>
        <v>6.7147880000000004</v>
      </c>
      <c r="CW11">
        <v>1057.3</v>
      </c>
      <c r="CX11">
        <v>63.87</v>
      </c>
      <c r="CY11">
        <v>17730.77</v>
      </c>
      <c r="CZ11">
        <v>10816.07</v>
      </c>
    </row>
    <row r="12" spans="1:104" x14ac:dyDescent="0.2">
      <c r="A12">
        <v>11</v>
      </c>
      <c r="B12">
        <v>1683</v>
      </c>
      <c r="C12" s="1">
        <v>42087.697222222225</v>
      </c>
      <c r="D12" t="s">
        <v>102</v>
      </c>
      <c r="E12">
        <v>121</v>
      </c>
      <c r="F12" t="s">
        <v>103</v>
      </c>
      <c r="G12">
        <v>2</v>
      </c>
      <c r="H12" t="s">
        <v>104</v>
      </c>
      <c r="I12" t="s">
        <v>105</v>
      </c>
      <c r="J12" t="s">
        <v>117</v>
      </c>
      <c r="O12">
        <v>439.26</v>
      </c>
      <c r="P12">
        <v>11.36</v>
      </c>
      <c r="Q12">
        <v>222</v>
      </c>
      <c r="R12">
        <f t="shared" si="0"/>
        <v>2.2200000000000001E-2</v>
      </c>
      <c r="S12">
        <v>9.17</v>
      </c>
      <c r="T12">
        <v>395.28</v>
      </c>
      <c r="U12">
        <v>10.72</v>
      </c>
      <c r="V12" t="s">
        <v>107</v>
      </c>
      <c r="W12">
        <v>300000</v>
      </c>
      <c r="X12">
        <v>11.48</v>
      </c>
      <c r="Y12">
        <v>2.11</v>
      </c>
      <c r="Z12" t="s">
        <v>107</v>
      </c>
      <c r="AA12">
        <v>300000</v>
      </c>
      <c r="AB12">
        <v>425.39</v>
      </c>
      <c r="AC12">
        <v>29.25</v>
      </c>
      <c r="AD12" t="s">
        <v>107</v>
      </c>
      <c r="AE12">
        <v>300000</v>
      </c>
      <c r="AF12" t="s">
        <v>107</v>
      </c>
      <c r="AG12">
        <v>8.52</v>
      </c>
      <c r="AH12">
        <v>118.57</v>
      </c>
      <c r="AI12">
        <v>41.67</v>
      </c>
      <c r="AJ12" t="s">
        <v>107</v>
      </c>
      <c r="AK12">
        <v>300000</v>
      </c>
      <c r="AL12">
        <v>1223.05</v>
      </c>
      <c r="AM12">
        <v>55.32</v>
      </c>
      <c r="AN12" t="s">
        <v>107</v>
      </c>
      <c r="AO12">
        <v>300000</v>
      </c>
      <c r="AP12">
        <v>9426.4599999999991</v>
      </c>
      <c r="AQ12">
        <v>193.59</v>
      </c>
      <c r="AR12">
        <v>11033.07</v>
      </c>
      <c r="AS12">
        <v>239.12</v>
      </c>
      <c r="AT12" t="s">
        <v>107</v>
      </c>
      <c r="AU12">
        <v>300000</v>
      </c>
      <c r="AV12">
        <v>61027.12</v>
      </c>
      <c r="AW12">
        <v>677.87</v>
      </c>
      <c r="AX12">
        <v>325479.96999999997</v>
      </c>
      <c r="AY12">
        <v>2552.14</v>
      </c>
      <c r="AZ12">
        <v>92.82</v>
      </c>
      <c r="BA12">
        <v>43.45</v>
      </c>
      <c r="BB12">
        <v>500.14</v>
      </c>
      <c r="BC12">
        <v>99.4</v>
      </c>
      <c r="BD12">
        <v>3599.17</v>
      </c>
      <c r="BE12">
        <v>266.69</v>
      </c>
      <c r="BF12" t="s">
        <v>107</v>
      </c>
      <c r="BG12">
        <v>115.01</v>
      </c>
      <c r="BH12">
        <v>22762.33</v>
      </c>
      <c r="BI12">
        <v>1060.69</v>
      </c>
      <c r="BJ12">
        <v>13849.76</v>
      </c>
      <c r="BK12">
        <v>568.12</v>
      </c>
      <c r="BL12">
        <v>1778.38</v>
      </c>
      <c r="BM12">
        <v>126.53</v>
      </c>
      <c r="BN12">
        <v>3345.72</v>
      </c>
      <c r="BO12">
        <v>91.68</v>
      </c>
      <c r="BP12">
        <v>82.26</v>
      </c>
      <c r="BQ12">
        <v>11.23</v>
      </c>
      <c r="BR12">
        <v>108.93</v>
      </c>
      <c r="BS12">
        <v>31.79</v>
      </c>
      <c r="BT12">
        <v>87.26</v>
      </c>
      <c r="BU12">
        <v>17.03</v>
      </c>
      <c r="BV12">
        <v>28.08</v>
      </c>
      <c r="BW12">
        <v>10</v>
      </c>
      <c r="BX12">
        <v>41.76</v>
      </c>
      <c r="BY12">
        <v>12.72</v>
      </c>
      <c r="BZ12">
        <v>17.260000000000002</v>
      </c>
      <c r="CA12">
        <v>8.68</v>
      </c>
      <c r="CB12" t="s">
        <v>107</v>
      </c>
      <c r="CC12">
        <v>14.48</v>
      </c>
      <c r="CD12">
        <v>424603.78</v>
      </c>
      <c r="CE12">
        <v>4466.47</v>
      </c>
      <c r="CF12">
        <v>26.73</v>
      </c>
      <c r="CG12">
        <v>3.55</v>
      </c>
      <c r="CH12" t="s">
        <v>107</v>
      </c>
      <c r="CI12">
        <v>21.45</v>
      </c>
      <c r="CJ12" t="s">
        <v>107</v>
      </c>
      <c r="CK12">
        <v>1.5</v>
      </c>
      <c r="CL12" t="s">
        <v>107</v>
      </c>
      <c r="CM12">
        <v>1.5</v>
      </c>
      <c r="CN12" t="s">
        <v>107</v>
      </c>
      <c r="CO12">
        <v>1.5</v>
      </c>
      <c r="CP12">
        <v>26622.07</v>
      </c>
      <c r="CQ12">
        <v>2133.11</v>
      </c>
      <c r="CR12">
        <v>2452.41</v>
      </c>
      <c r="CS12">
        <v>247.41</v>
      </c>
      <c r="CT12">
        <v>66583.789999999994</v>
      </c>
      <c r="CU12">
        <v>1216.46</v>
      </c>
      <c r="CV12" s="16">
        <f t="shared" si="1"/>
        <v>6.6583789999999992</v>
      </c>
      <c r="CW12">
        <v>1047.96</v>
      </c>
      <c r="CX12">
        <v>61.31</v>
      </c>
      <c r="CY12">
        <v>27684.34</v>
      </c>
      <c r="CZ12">
        <v>11115.88</v>
      </c>
    </row>
    <row r="13" spans="1:104" x14ac:dyDescent="0.2">
      <c r="A13">
        <v>12</v>
      </c>
      <c r="B13">
        <v>1684</v>
      </c>
      <c r="C13" s="1">
        <v>42087.699305555558</v>
      </c>
      <c r="D13" t="s">
        <v>102</v>
      </c>
      <c r="E13">
        <v>121</v>
      </c>
      <c r="F13" t="s">
        <v>103</v>
      </c>
      <c r="G13">
        <v>2</v>
      </c>
      <c r="H13" t="s">
        <v>104</v>
      </c>
      <c r="I13" t="s">
        <v>105</v>
      </c>
      <c r="J13" t="s">
        <v>118</v>
      </c>
      <c r="O13">
        <v>385.14</v>
      </c>
      <c r="P13">
        <v>10.130000000000001</v>
      </c>
      <c r="Q13">
        <v>190.76</v>
      </c>
      <c r="R13">
        <f t="shared" si="0"/>
        <v>1.9075999999999999E-2</v>
      </c>
      <c r="S13">
        <v>8.2200000000000006</v>
      </c>
      <c r="T13">
        <v>348.24</v>
      </c>
      <c r="U13">
        <v>9.58</v>
      </c>
      <c r="V13" t="s">
        <v>107</v>
      </c>
      <c r="W13">
        <v>300000</v>
      </c>
      <c r="X13">
        <v>9.4</v>
      </c>
      <c r="Y13">
        <v>1.89</v>
      </c>
      <c r="Z13" t="s">
        <v>107</v>
      </c>
      <c r="AA13">
        <v>300000</v>
      </c>
      <c r="AB13">
        <v>370.65</v>
      </c>
      <c r="AC13">
        <v>26.31</v>
      </c>
      <c r="AD13" t="s">
        <v>107</v>
      </c>
      <c r="AE13">
        <v>300000</v>
      </c>
      <c r="AF13" t="s">
        <v>107</v>
      </c>
      <c r="AG13">
        <v>300000</v>
      </c>
      <c r="AH13">
        <v>143.83000000000001</v>
      </c>
      <c r="AI13">
        <v>38.54</v>
      </c>
      <c r="AJ13" t="s">
        <v>107</v>
      </c>
      <c r="AK13">
        <v>300000</v>
      </c>
      <c r="AL13">
        <v>1059.31</v>
      </c>
      <c r="AM13">
        <v>49.99</v>
      </c>
      <c r="AN13" t="s">
        <v>107</v>
      </c>
      <c r="AO13">
        <v>300000</v>
      </c>
      <c r="AP13">
        <v>8277.4699999999993</v>
      </c>
      <c r="AQ13">
        <v>171.81</v>
      </c>
      <c r="AR13">
        <v>9813.08</v>
      </c>
      <c r="AS13">
        <v>214.88</v>
      </c>
      <c r="AT13" t="s">
        <v>107</v>
      </c>
      <c r="AU13">
        <v>300000</v>
      </c>
      <c r="AV13">
        <v>57107.29</v>
      </c>
      <c r="AW13">
        <v>634.64</v>
      </c>
      <c r="AX13">
        <v>301395.21999999997</v>
      </c>
      <c r="AY13">
        <v>2321.13</v>
      </c>
      <c r="AZ13">
        <v>140.88</v>
      </c>
      <c r="BA13">
        <v>43.43</v>
      </c>
      <c r="BB13">
        <v>529.38</v>
      </c>
      <c r="BC13">
        <v>96.88</v>
      </c>
      <c r="BD13">
        <v>3534.12</v>
      </c>
      <c r="BE13">
        <v>257.7</v>
      </c>
      <c r="BF13" t="s">
        <v>107</v>
      </c>
      <c r="BG13">
        <v>111.3</v>
      </c>
      <c r="BH13">
        <v>22340.23</v>
      </c>
      <c r="BI13">
        <v>997.42</v>
      </c>
      <c r="BJ13">
        <v>13210.77</v>
      </c>
      <c r="BK13">
        <v>549.04</v>
      </c>
      <c r="BL13">
        <v>1644.44</v>
      </c>
      <c r="BM13">
        <v>117.17</v>
      </c>
      <c r="BN13">
        <v>2127.5700000000002</v>
      </c>
      <c r="BO13">
        <v>70.489999999999995</v>
      </c>
      <c r="BP13">
        <v>33.5</v>
      </c>
      <c r="BQ13">
        <v>9.2100000000000009</v>
      </c>
      <c r="BR13" t="s">
        <v>107</v>
      </c>
      <c r="BS13">
        <v>38.92</v>
      </c>
      <c r="BT13">
        <v>34.9</v>
      </c>
      <c r="BU13">
        <v>13.66</v>
      </c>
      <c r="BV13" t="s">
        <v>107</v>
      </c>
      <c r="BW13">
        <v>11.96</v>
      </c>
      <c r="BX13" t="s">
        <v>107</v>
      </c>
      <c r="BY13">
        <v>15.09</v>
      </c>
      <c r="BZ13" t="s">
        <v>107</v>
      </c>
      <c r="CA13">
        <v>10.3</v>
      </c>
      <c r="CB13" t="s">
        <v>107</v>
      </c>
      <c r="CC13">
        <v>11.29</v>
      </c>
      <c r="CD13">
        <v>473730.25</v>
      </c>
      <c r="CE13">
        <v>3944.54</v>
      </c>
      <c r="CF13">
        <v>18.05</v>
      </c>
      <c r="CG13">
        <v>3.16</v>
      </c>
      <c r="CH13" t="s">
        <v>107</v>
      </c>
      <c r="CI13">
        <v>14.81</v>
      </c>
      <c r="CJ13" t="s">
        <v>107</v>
      </c>
      <c r="CK13">
        <v>1.5</v>
      </c>
      <c r="CL13" t="s">
        <v>107</v>
      </c>
      <c r="CM13">
        <v>1.5</v>
      </c>
      <c r="CN13" t="s">
        <v>107</v>
      </c>
      <c r="CO13">
        <v>1.5</v>
      </c>
      <c r="CP13">
        <v>24214.79</v>
      </c>
      <c r="CQ13">
        <v>1868.18</v>
      </c>
      <c r="CR13">
        <v>2219.2600000000002</v>
      </c>
      <c r="CS13">
        <v>228.17</v>
      </c>
      <c r="CT13">
        <v>62463.75</v>
      </c>
      <c r="CU13">
        <v>1136.17</v>
      </c>
      <c r="CV13" s="16">
        <f t="shared" si="1"/>
        <v>6.2463749999999996</v>
      </c>
      <c r="CW13">
        <v>1055.8499999999999</v>
      </c>
      <c r="CX13">
        <v>57.9</v>
      </c>
      <c r="CY13">
        <v>18465.95</v>
      </c>
      <c r="CZ13">
        <v>9320.5499999999993</v>
      </c>
    </row>
    <row r="14" spans="1:104" x14ac:dyDescent="0.2">
      <c r="A14">
        <v>13</v>
      </c>
      <c r="B14">
        <v>1685</v>
      </c>
      <c r="C14" s="1">
        <v>42087.70208333333</v>
      </c>
      <c r="D14" t="s">
        <v>102</v>
      </c>
      <c r="E14">
        <v>121</v>
      </c>
      <c r="F14" t="s">
        <v>103</v>
      </c>
      <c r="G14">
        <v>2</v>
      </c>
      <c r="H14" t="s">
        <v>104</v>
      </c>
      <c r="I14" t="s">
        <v>105</v>
      </c>
      <c r="J14" t="s">
        <v>119</v>
      </c>
      <c r="O14">
        <v>4.6100000000000003</v>
      </c>
      <c r="P14">
        <v>2.85</v>
      </c>
      <c r="Q14">
        <v>116.97</v>
      </c>
      <c r="R14">
        <f t="shared" si="0"/>
        <v>1.1696999999999999E-2</v>
      </c>
      <c r="S14">
        <v>4.01</v>
      </c>
      <c r="T14">
        <v>168.29</v>
      </c>
      <c r="U14">
        <v>4.68</v>
      </c>
      <c r="V14" t="s">
        <v>107</v>
      </c>
      <c r="W14">
        <v>9.26</v>
      </c>
      <c r="X14">
        <v>70.66</v>
      </c>
      <c r="Y14">
        <v>2.5</v>
      </c>
      <c r="Z14">
        <v>10.75</v>
      </c>
      <c r="AA14">
        <v>3.85</v>
      </c>
      <c r="AB14">
        <v>33.229999999999997</v>
      </c>
      <c r="AC14">
        <v>5.63</v>
      </c>
      <c r="AD14" t="s">
        <v>107</v>
      </c>
      <c r="AE14">
        <v>7.06</v>
      </c>
      <c r="AF14" t="s">
        <v>107</v>
      </c>
      <c r="AG14">
        <v>4.05</v>
      </c>
      <c r="AH14">
        <v>59.14</v>
      </c>
      <c r="AI14">
        <v>11.12</v>
      </c>
      <c r="AJ14" t="s">
        <v>107</v>
      </c>
      <c r="AK14">
        <v>10.06</v>
      </c>
      <c r="AL14">
        <v>181.48</v>
      </c>
      <c r="AM14">
        <v>14.45</v>
      </c>
      <c r="AN14" t="s">
        <v>107</v>
      </c>
      <c r="AO14">
        <v>42.6</v>
      </c>
      <c r="AP14">
        <v>30.71</v>
      </c>
      <c r="AQ14">
        <v>13.78</v>
      </c>
      <c r="AR14">
        <v>108.86</v>
      </c>
      <c r="AS14">
        <v>25.79</v>
      </c>
      <c r="AT14" t="s">
        <v>107</v>
      </c>
      <c r="AU14">
        <v>218.71</v>
      </c>
      <c r="AV14">
        <v>70887.14</v>
      </c>
      <c r="AW14">
        <v>562.34</v>
      </c>
      <c r="AX14">
        <v>1124.75</v>
      </c>
      <c r="AY14">
        <v>82.87</v>
      </c>
      <c r="AZ14">
        <v>233.46</v>
      </c>
      <c r="BA14">
        <v>29.26</v>
      </c>
      <c r="BB14">
        <v>274.73</v>
      </c>
      <c r="BC14">
        <v>45.96</v>
      </c>
      <c r="BD14">
        <v>5740.27</v>
      </c>
      <c r="BE14">
        <v>143.58000000000001</v>
      </c>
      <c r="BF14" t="s">
        <v>107</v>
      </c>
      <c r="BG14">
        <v>68.260000000000005</v>
      </c>
      <c r="BH14">
        <v>22943.72</v>
      </c>
      <c r="BI14">
        <v>765.4</v>
      </c>
      <c r="BJ14">
        <v>26470.38</v>
      </c>
      <c r="BK14">
        <v>521.51</v>
      </c>
      <c r="BL14">
        <v>5608.56</v>
      </c>
      <c r="BM14">
        <v>151.68</v>
      </c>
      <c r="BN14">
        <v>669.04</v>
      </c>
      <c r="BO14">
        <v>38.49</v>
      </c>
      <c r="BP14">
        <v>10.6</v>
      </c>
      <c r="BQ14">
        <v>5.92</v>
      </c>
      <c r="BR14" t="s">
        <v>107</v>
      </c>
      <c r="BS14">
        <v>25.45</v>
      </c>
      <c r="BT14" t="s">
        <v>107</v>
      </c>
      <c r="BU14">
        <v>12.85</v>
      </c>
      <c r="BV14" t="s">
        <v>107</v>
      </c>
      <c r="BW14">
        <v>7.91</v>
      </c>
      <c r="BX14" t="s">
        <v>107</v>
      </c>
      <c r="BY14">
        <v>9.68</v>
      </c>
      <c r="BZ14" t="s">
        <v>107</v>
      </c>
      <c r="CA14">
        <v>6.51</v>
      </c>
      <c r="CB14" t="s">
        <v>107</v>
      </c>
      <c r="CC14">
        <v>7.62</v>
      </c>
      <c r="CD14">
        <v>487540.75</v>
      </c>
      <c r="CE14">
        <v>2844.1</v>
      </c>
      <c r="CF14">
        <v>15.2</v>
      </c>
      <c r="CG14">
        <v>1.91</v>
      </c>
      <c r="CH14">
        <v>11.64</v>
      </c>
      <c r="CI14">
        <v>5.23</v>
      </c>
      <c r="CJ14" t="s">
        <v>107</v>
      </c>
      <c r="CK14">
        <v>1.5</v>
      </c>
      <c r="CL14" t="s">
        <v>107</v>
      </c>
      <c r="CM14">
        <v>1.5</v>
      </c>
      <c r="CN14" t="s">
        <v>107</v>
      </c>
      <c r="CO14">
        <v>1.5</v>
      </c>
      <c r="CP14">
        <v>107624.13</v>
      </c>
      <c r="CQ14">
        <v>2848.93</v>
      </c>
      <c r="CR14">
        <v>1817.4</v>
      </c>
      <c r="CS14">
        <v>287.79000000000002</v>
      </c>
      <c r="CT14">
        <v>238015.34</v>
      </c>
      <c r="CU14">
        <v>1724.6</v>
      </c>
      <c r="CV14" s="16">
        <f t="shared" si="1"/>
        <v>23.801534</v>
      </c>
      <c r="CW14" t="s">
        <v>107</v>
      </c>
      <c r="CX14">
        <v>56.42</v>
      </c>
      <c r="CY14">
        <v>30890.14</v>
      </c>
      <c r="CZ14">
        <v>5703.18</v>
      </c>
    </row>
    <row r="15" spans="1:104" x14ac:dyDescent="0.2">
      <c r="A15">
        <v>14</v>
      </c>
      <c r="B15">
        <v>1686</v>
      </c>
      <c r="C15" s="1">
        <v>42087.70416666667</v>
      </c>
      <c r="D15" t="s">
        <v>102</v>
      </c>
      <c r="E15">
        <v>121</v>
      </c>
      <c r="F15" t="s">
        <v>103</v>
      </c>
      <c r="G15">
        <v>2</v>
      </c>
      <c r="H15" t="s">
        <v>104</v>
      </c>
      <c r="I15" t="s">
        <v>105</v>
      </c>
      <c r="J15" t="s">
        <v>120</v>
      </c>
      <c r="O15" t="s">
        <v>107</v>
      </c>
      <c r="P15">
        <v>4.1500000000000004</v>
      </c>
      <c r="Q15">
        <v>115.88</v>
      </c>
      <c r="R15">
        <f t="shared" si="0"/>
        <v>1.1587999999999999E-2</v>
      </c>
      <c r="S15">
        <v>3.92</v>
      </c>
      <c r="T15">
        <v>175.08</v>
      </c>
      <c r="U15">
        <v>4.68</v>
      </c>
      <c r="V15" t="s">
        <v>107</v>
      </c>
      <c r="W15">
        <v>9.3000000000000007</v>
      </c>
      <c r="X15">
        <v>72</v>
      </c>
      <c r="Y15">
        <v>2.4700000000000002</v>
      </c>
      <c r="Z15">
        <v>10.92</v>
      </c>
      <c r="AA15">
        <v>3.81</v>
      </c>
      <c r="AB15">
        <v>38.1</v>
      </c>
      <c r="AC15">
        <v>5.79</v>
      </c>
      <c r="AD15" t="s">
        <v>107</v>
      </c>
      <c r="AE15">
        <v>7</v>
      </c>
      <c r="AF15" t="s">
        <v>107</v>
      </c>
      <c r="AG15">
        <v>3.96</v>
      </c>
      <c r="AH15">
        <v>43.84</v>
      </c>
      <c r="AI15">
        <v>10.75</v>
      </c>
      <c r="AJ15" t="s">
        <v>107</v>
      </c>
      <c r="AK15">
        <v>10.02</v>
      </c>
      <c r="AL15">
        <v>175.39</v>
      </c>
      <c r="AM15">
        <v>14.09</v>
      </c>
      <c r="AN15" t="s">
        <v>107</v>
      </c>
      <c r="AO15">
        <v>41.22</v>
      </c>
      <c r="AP15">
        <v>20.67</v>
      </c>
      <c r="AQ15">
        <v>13.16</v>
      </c>
      <c r="AR15">
        <v>93.57</v>
      </c>
      <c r="AS15">
        <v>25.11</v>
      </c>
      <c r="AT15" t="s">
        <v>107</v>
      </c>
      <c r="AU15">
        <v>215.28</v>
      </c>
      <c r="AV15">
        <v>70675.929999999993</v>
      </c>
      <c r="AW15">
        <v>552.17999999999995</v>
      </c>
      <c r="AX15">
        <v>1047.26</v>
      </c>
      <c r="AY15">
        <v>79.67</v>
      </c>
      <c r="AZ15">
        <v>266.58999999999997</v>
      </c>
      <c r="BA15">
        <v>28.9</v>
      </c>
      <c r="BB15">
        <v>256.57</v>
      </c>
      <c r="BC15">
        <v>45.38</v>
      </c>
      <c r="BD15">
        <v>5583.17</v>
      </c>
      <c r="BE15">
        <v>141.86000000000001</v>
      </c>
      <c r="BF15" t="s">
        <v>107</v>
      </c>
      <c r="BG15">
        <v>68.09</v>
      </c>
      <c r="BH15">
        <v>23566.59</v>
      </c>
      <c r="BI15">
        <v>772.99</v>
      </c>
      <c r="BJ15">
        <v>27704.68</v>
      </c>
      <c r="BK15">
        <v>530.46</v>
      </c>
      <c r="BL15">
        <v>5674.55</v>
      </c>
      <c r="BM15">
        <v>155.08000000000001</v>
      </c>
      <c r="BN15">
        <v>659.23</v>
      </c>
      <c r="BO15">
        <v>38.25</v>
      </c>
      <c r="BP15">
        <v>10.75</v>
      </c>
      <c r="BQ15">
        <v>5.89</v>
      </c>
      <c r="BR15" t="s">
        <v>107</v>
      </c>
      <c r="BS15">
        <v>25.17</v>
      </c>
      <c r="BT15" t="s">
        <v>107</v>
      </c>
      <c r="BU15">
        <v>12.77</v>
      </c>
      <c r="BV15" t="s">
        <v>107</v>
      </c>
      <c r="BW15">
        <v>7.9</v>
      </c>
      <c r="BX15" t="s">
        <v>107</v>
      </c>
      <c r="BY15">
        <v>9.73</v>
      </c>
      <c r="BZ15" t="s">
        <v>107</v>
      </c>
      <c r="CA15">
        <v>6.72</v>
      </c>
      <c r="CB15" t="s">
        <v>107</v>
      </c>
      <c r="CC15">
        <v>7.57</v>
      </c>
      <c r="CD15">
        <v>508871.16</v>
      </c>
      <c r="CE15">
        <v>2609.85</v>
      </c>
      <c r="CF15">
        <v>13.99</v>
      </c>
      <c r="CG15">
        <v>1.85</v>
      </c>
      <c r="CH15">
        <v>10.72</v>
      </c>
      <c r="CI15">
        <v>5.1100000000000003</v>
      </c>
      <c r="CJ15" t="s">
        <v>107</v>
      </c>
      <c r="CK15">
        <v>1.5</v>
      </c>
      <c r="CL15" t="s">
        <v>107</v>
      </c>
      <c r="CM15">
        <v>1.5</v>
      </c>
      <c r="CN15" t="s">
        <v>107</v>
      </c>
      <c r="CO15">
        <v>1.5</v>
      </c>
      <c r="CP15">
        <v>102140.58</v>
      </c>
      <c r="CQ15">
        <v>2659.05</v>
      </c>
      <c r="CR15">
        <v>1915.21</v>
      </c>
      <c r="CS15">
        <v>293.62</v>
      </c>
      <c r="CT15">
        <v>237834.59</v>
      </c>
      <c r="CU15">
        <v>1736.94</v>
      </c>
      <c r="CV15" s="16">
        <f t="shared" si="1"/>
        <v>23.783459000000001</v>
      </c>
      <c r="CW15" t="s">
        <v>107</v>
      </c>
      <c r="CX15">
        <v>57.4</v>
      </c>
      <c r="CY15">
        <v>13657.95</v>
      </c>
      <c r="CZ15">
        <v>4923.1899999999996</v>
      </c>
    </row>
    <row r="16" spans="1:104" x14ac:dyDescent="0.2">
      <c r="A16">
        <v>15</v>
      </c>
      <c r="B16">
        <v>1687</v>
      </c>
      <c r="C16" s="1">
        <v>42087.706250000003</v>
      </c>
      <c r="D16" t="s">
        <v>102</v>
      </c>
      <c r="E16">
        <v>121</v>
      </c>
      <c r="F16" t="s">
        <v>103</v>
      </c>
      <c r="G16">
        <v>2</v>
      </c>
      <c r="H16" t="s">
        <v>104</v>
      </c>
      <c r="I16" t="s">
        <v>105</v>
      </c>
      <c r="J16" t="s">
        <v>121</v>
      </c>
      <c r="O16" t="s">
        <v>107</v>
      </c>
      <c r="P16">
        <v>4.3499999999999996</v>
      </c>
      <c r="Q16">
        <v>115.6</v>
      </c>
      <c r="R16">
        <f t="shared" si="0"/>
        <v>1.1559999999999999E-2</v>
      </c>
      <c r="S16">
        <v>4.0599999999999996</v>
      </c>
      <c r="T16">
        <v>170.3</v>
      </c>
      <c r="U16">
        <v>4.78</v>
      </c>
      <c r="V16" t="s">
        <v>107</v>
      </c>
      <c r="W16">
        <v>9.66</v>
      </c>
      <c r="X16">
        <v>72.45</v>
      </c>
      <c r="Y16">
        <v>2.57</v>
      </c>
      <c r="Z16">
        <v>10.79</v>
      </c>
      <c r="AA16">
        <v>3.94</v>
      </c>
      <c r="AB16">
        <v>37.39</v>
      </c>
      <c r="AC16">
        <v>5.97</v>
      </c>
      <c r="AD16" t="s">
        <v>107</v>
      </c>
      <c r="AE16">
        <v>7.13</v>
      </c>
      <c r="AF16" t="s">
        <v>107</v>
      </c>
      <c r="AG16">
        <v>4.25</v>
      </c>
      <c r="AH16">
        <v>43.88</v>
      </c>
      <c r="AI16">
        <v>11.13</v>
      </c>
      <c r="AJ16" t="s">
        <v>107</v>
      </c>
      <c r="AK16">
        <v>10.25</v>
      </c>
      <c r="AL16">
        <v>194.33</v>
      </c>
      <c r="AM16">
        <v>14.98</v>
      </c>
      <c r="AN16" t="s">
        <v>107</v>
      </c>
      <c r="AO16">
        <v>43.68</v>
      </c>
      <c r="AP16">
        <v>30.65</v>
      </c>
      <c r="AQ16">
        <v>14.04</v>
      </c>
      <c r="AR16">
        <v>100.91</v>
      </c>
      <c r="AS16">
        <v>26.13</v>
      </c>
      <c r="AT16" t="s">
        <v>107</v>
      </c>
      <c r="AU16">
        <v>222.48</v>
      </c>
      <c r="AV16">
        <v>70941.919999999998</v>
      </c>
      <c r="AW16">
        <v>571.24</v>
      </c>
      <c r="AX16">
        <v>1038.3699999999999</v>
      </c>
      <c r="AY16">
        <v>82.22</v>
      </c>
      <c r="AZ16">
        <v>234.83</v>
      </c>
      <c r="BA16">
        <v>29.09</v>
      </c>
      <c r="BB16">
        <v>281.93</v>
      </c>
      <c r="BC16">
        <v>45.36</v>
      </c>
      <c r="BD16">
        <v>5642.94</v>
      </c>
      <c r="BE16">
        <v>141.1</v>
      </c>
      <c r="BF16" t="s">
        <v>107</v>
      </c>
      <c r="BG16">
        <v>68.13</v>
      </c>
      <c r="BH16">
        <v>23711.68</v>
      </c>
      <c r="BI16">
        <v>775.72</v>
      </c>
      <c r="BJ16">
        <v>27135.15</v>
      </c>
      <c r="BK16">
        <v>527.66999999999996</v>
      </c>
      <c r="BL16">
        <v>5602.32</v>
      </c>
      <c r="BM16">
        <v>150.66</v>
      </c>
      <c r="BN16">
        <v>721.81</v>
      </c>
      <c r="BO16">
        <v>39.33</v>
      </c>
      <c r="BP16">
        <v>11.05</v>
      </c>
      <c r="BQ16">
        <v>6</v>
      </c>
      <c r="BR16" t="s">
        <v>107</v>
      </c>
      <c r="BS16">
        <v>25.73</v>
      </c>
      <c r="BT16" t="s">
        <v>107</v>
      </c>
      <c r="BU16">
        <v>13.07</v>
      </c>
      <c r="BV16" t="s">
        <v>107</v>
      </c>
      <c r="BW16">
        <v>8.0500000000000007</v>
      </c>
      <c r="BX16" t="s">
        <v>107</v>
      </c>
      <c r="BY16">
        <v>9.9600000000000009</v>
      </c>
      <c r="BZ16" t="s">
        <v>107</v>
      </c>
      <c r="CA16">
        <v>6.88</v>
      </c>
      <c r="CB16" t="s">
        <v>107</v>
      </c>
      <c r="CC16">
        <v>7.76</v>
      </c>
      <c r="CD16">
        <v>496163.69</v>
      </c>
      <c r="CE16">
        <v>2801.5</v>
      </c>
      <c r="CF16">
        <v>15.47</v>
      </c>
      <c r="CG16">
        <v>1.95</v>
      </c>
      <c r="CH16">
        <v>8.44</v>
      </c>
      <c r="CI16">
        <v>5.22</v>
      </c>
      <c r="CJ16" t="s">
        <v>107</v>
      </c>
      <c r="CK16">
        <v>1.5</v>
      </c>
      <c r="CL16" t="s">
        <v>107</v>
      </c>
      <c r="CM16">
        <v>1.5</v>
      </c>
      <c r="CN16" t="s">
        <v>107</v>
      </c>
      <c r="CO16">
        <v>1.5</v>
      </c>
      <c r="CP16">
        <v>104621.4</v>
      </c>
      <c r="CQ16">
        <v>2719.18</v>
      </c>
      <c r="CR16">
        <v>1925.93</v>
      </c>
      <c r="CS16">
        <v>286.74</v>
      </c>
      <c r="CT16">
        <v>239131.72</v>
      </c>
      <c r="CU16">
        <v>1731.53</v>
      </c>
      <c r="CV16" s="16">
        <f t="shared" si="1"/>
        <v>23.913171999999999</v>
      </c>
      <c r="CW16" t="s">
        <v>107</v>
      </c>
      <c r="CX16">
        <v>56.64</v>
      </c>
      <c r="CY16">
        <v>22558.95</v>
      </c>
      <c r="CZ16">
        <v>5273.05</v>
      </c>
    </row>
    <row r="17" spans="1:104" x14ac:dyDescent="0.2">
      <c r="A17">
        <v>19</v>
      </c>
      <c r="B17">
        <v>1691</v>
      </c>
      <c r="C17" s="1">
        <v>42087.71597222222</v>
      </c>
      <c r="D17" t="s">
        <v>102</v>
      </c>
      <c r="E17">
        <v>121</v>
      </c>
      <c r="F17" t="s">
        <v>103</v>
      </c>
      <c r="G17">
        <v>2</v>
      </c>
      <c r="H17" t="s">
        <v>104</v>
      </c>
      <c r="I17" t="s">
        <v>105</v>
      </c>
      <c r="J17" t="s">
        <v>122</v>
      </c>
      <c r="O17" t="s">
        <v>107</v>
      </c>
      <c r="P17">
        <v>4.03</v>
      </c>
      <c r="Q17">
        <v>380.99</v>
      </c>
      <c r="R17">
        <f t="shared" si="0"/>
        <v>3.8099000000000001E-2</v>
      </c>
      <c r="S17">
        <v>7.1</v>
      </c>
      <c r="T17">
        <v>173.04</v>
      </c>
      <c r="U17">
        <v>4.18</v>
      </c>
      <c r="V17">
        <v>8.1</v>
      </c>
      <c r="W17">
        <v>5.34</v>
      </c>
      <c r="X17">
        <v>62.02</v>
      </c>
      <c r="Y17">
        <v>2.0699999999999998</v>
      </c>
      <c r="Z17">
        <v>9.31</v>
      </c>
      <c r="AA17">
        <v>3.13</v>
      </c>
      <c r="AB17">
        <v>24.19</v>
      </c>
      <c r="AC17">
        <v>4.5</v>
      </c>
      <c r="AD17" t="s">
        <v>107</v>
      </c>
      <c r="AE17">
        <v>6.32</v>
      </c>
      <c r="AF17" t="s">
        <v>107</v>
      </c>
      <c r="AG17">
        <v>3.44</v>
      </c>
      <c r="AH17" t="s">
        <v>107</v>
      </c>
      <c r="AI17">
        <v>4.93</v>
      </c>
      <c r="AJ17" t="s">
        <v>107</v>
      </c>
      <c r="AK17">
        <v>8.82</v>
      </c>
      <c r="AL17">
        <v>89.26</v>
      </c>
      <c r="AM17">
        <v>10.3</v>
      </c>
      <c r="AN17" t="s">
        <v>107</v>
      </c>
      <c r="AO17">
        <v>36.96</v>
      </c>
      <c r="AP17">
        <v>38.93</v>
      </c>
      <c r="AQ17">
        <v>12.09</v>
      </c>
      <c r="AR17">
        <v>32.799999999999997</v>
      </c>
      <c r="AS17">
        <v>20.71</v>
      </c>
      <c r="AT17" t="s">
        <v>107</v>
      </c>
      <c r="AU17">
        <v>152.84</v>
      </c>
      <c r="AV17">
        <v>48206.78</v>
      </c>
      <c r="AW17">
        <v>392.03</v>
      </c>
      <c r="AX17">
        <v>690.79</v>
      </c>
      <c r="AY17">
        <v>61.32</v>
      </c>
      <c r="AZ17">
        <v>158.75</v>
      </c>
      <c r="BA17">
        <v>23.26</v>
      </c>
      <c r="BB17">
        <v>115.24</v>
      </c>
      <c r="BC17">
        <v>35.21</v>
      </c>
      <c r="BD17">
        <v>5836.91</v>
      </c>
      <c r="BE17">
        <v>117.62</v>
      </c>
      <c r="BF17" t="s">
        <v>107</v>
      </c>
      <c r="BG17">
        <v>40.04</v>
      </c>
      <c r="BH17">
        <v>11617.54</v>
      </c>
      <c r="BI17">
        <v>507.9</v>
      </c>
      <c r="BJ17">
        <v>24913.360000000001</v>
      </c>
      <c r="BK17">
        <v>443.39</v>
      </c>
      <c r="BL17">
        <v>363.61</v>
      </c>
      <c r="BM17">
        <v>74.33</v>
      </c>
      <c r="BN17">
        <v>471.28</v>
      </c>
      <c r="BO17">
        <v>35.19</v>
      </c>
      <c r="BP17" t="s">
        <v>107</v>
      </c>
      <c r="BQ17">
        <v>8.26</v>
      </c>
      <c r="BR17" t="s">
        <v>107</v>
      </c>
      <c r="BS17">
        <v>23.58</v>
      </c>
      <c r="BT17" t="s">
        <v>107</v>
      </c>
      <c r="BU17">
        <v>12.04</v>
      </c>
      <c r="BV17" t="s">
        <v>107</v>
      </c>
      <c r="BW17">
        <v>7.32</v>
      </c>
      <c r="BX17" t="s">
        <v>107</v>
      </c>
      <c r="BY17">
        <v>9.07</v>
      </c>
      <c r="BZ17" t="s">
        <v>107</v>
      </c>
      <c r="CA17">
        <v>6.24</v>
      </c>
      <c r="CB17" t="s">
        <v>107</v>
      </c>
      <c r="CC17">
        <v>7.47</v>
      </c>
      <c r="CD17">
        <v>486814</v>
      </c>
      <c r="CE17">
        <v>2296.71</v>
      </c>
      <c r="CF17">
        <v>18.850000000000001</v>
      </c>
      <c r="CG17">
        <v>1.75</v>
      </c>
      <c r="CH17" t="s">
        <v>107</v>
      </c>
      <c r="CI17">
        <v>6.28</v>
      </c>
      <c r="CJ17" t="s">
        <v>107</v>
      </c>
      <c r="CK17">
        <v>1.5</v>
      </c>
      <c r="CL17" t="s">
        <v>107</v>
      </c>
      <c r="CM17">
        <v>1.5</v>
      </c>
      <c r="CN17" t="s">
        <v>107</v>
      </c>
      <c r="CO17">
        <v>1.5</v>
      </c>
      <c r="CP17">
        <v>73706.679999999993</v>
      </c>
      <c r="CQ17">
        <v>2081.21</v>
      </c>
      <c r="CR17">
        <v>1144.72</v>
      </c>
      <c r="CS17">
        <v>325.42</v>
      </c>
      <c r="CT17">
        <v>330585.13</v>
      </c>
      <c r="CU17">
        <v>1861.98</v>
      </c>
      <c r="CV17" s="16">
        <f t="shared" si="1"/>
        <v>33.058512999999998</v>
      </c>
      <c r="CW17" t="s">
        <v>107</v>
      </c>
      <c r="CX17">
        <v>56.13</v>
      </c>
      <c r="CY17">
        <v>14990.14</v>
      </c>
      <c r="CZ17">
        <v>4397.3599999999997</v>
      </c>
    </row>
    <row r="18" spans="1:104" x14ac:dyDescent="0.2">
      <c r="A18">
        <v>20</v>
      </c>
      <c r="B18">
        <v>1692</v>
      </c>
      <c r="C18" s="1">
        <v>42087.718055555553</v>
      </c>
      <c r="D18" t="s">
        <v>102</v>
      </c>
      <c r="E18">
        <v>121</v>
      </c>
      <c r="F18" t="s">
        <v>103</v>
      </c>
      <c r="G18">
        <v>2</v>
      </c>
      <c r="H18" t="s">
        <v>104</v>
      </c>
      <c r="I18" t="s">
        <v>105</v>
      </c>
      <c r="J18" t="s">
        <v>123</v>
      </c>
      <c r="O18" t="s">
        <v>107</v>
      </c>
      <c r="P18">
        <v>4.3499999999999996</v>
      </c>
      <c r="Q18">
        <v>372.93</v>
      </c>
      <c r="R18">
        <f t="shared" si="0"/>
        <v>3.7293E-2</v>
      </c>
      <c r="S18">
        <v>7.64</v>
      </c>
      <c r="T18">
        <v>169.51</v>
      </c>
      <c r="U18">
        <v>4.49</v>
      </c>
      <c r="V18" t="s">
        <v>107</v>
      </c>
      <c r="W18">
        <v>8.59</v>
      </c>
      <c r="X18">
        <v>60.42</v>
      </c>
      <c r="Y18">
        <v>2.2200000000000002</v>
      </c>
      <c r="Z18">
        <v>12.21</v>
      </c>
      <c r="AA18">
        <v>3.53</v>
      </c>
      <c r="AB18">
        <v>25.24</v>
      </c>
      <c r="AC18">
        <v>4.95</v>
      </c>
      <c r="AD18" t="s">
        <v>107</v>
      </c>
      <c r="AE18">
        <v>6.79</v>
      </c>
      <c r="AF18" t="s">
        <v>107</v>
      </c>
      <c r="AG18">
        <v>3.74</v>
      </c>
      <c r="AH18" t="s">
        <v>107</v>
      </c>
      <c r="AI18">
        <v>5.38</v>
      </c>
      <c r="AJ18" t="s">
        <v>107</v>
      </c>
      <c r="AK18">
        <v>9.69</v>
      </c>
      <c r="AL18">
        <v>95.22</v>
      </c>
      <c r="AM18">
        <v>11.42</v>
      </c>
      <c r="AN18" t="s">
        <v>107</v>
      </c>
      <c r="AO18">
        <v>40.520000000000003</v>
      </c>
      <c r="AP18">
        <v>39.94</v>
      </c>
      <c r="AQ18">
        <v>13.16</v>
      </c>
      <c r="AR18">
        <v>44.6</v>
      </c>
      <c r="AS18">
        <v>22.71</v>
      </c>
      <c r="AT18" t="s">
        <v>107</v>
      </c>
      <c r="AU18">
        <v>165.25</v>
      </c>
      <c r="AV18">
        <v>48082.96</v>
      </c>
      <c r="AW18">
        <v>425.66</v>
      </c>
      <c r="AX18">
        <v>739.18</v>
      </c>
      <c r="AY18">
        <v>67.64</v>
      </c>
      <c r="AZ18">
        <v>162.56</v>
      </c>
      <c r="BA18">
        <v>23.45</v>
      </c>
      <c r="BB18">
        <v>144.77000000000001</v>
      </c>
      <c r="BC18">
        <v>35.68</v>
      </c>
      <c r="BD18">
        <v>5654.09</v>
      </c>
      <c r="BE18">
        <v>117.41</v>
      </c>
      <c r="BF18" t="s">
        <v>107</v>
      </c>
      <c r="BG18">
        <v>41.01</v>
      </c>
      <c r="BH18">
        <v>11689.08</v>
      </c>
      <c r="BI18">
        <v>514.6</v>
      </c>
      <c r="BJ18">
        <v>24714.01</v>
      </c>
      <c r="BK18">
        <v>448.56</v>
      </c>
      <c r="BL18">
        <v>593.33000000000004</v>
      </c>
      <c r="BM18">
        <v>77.8</v>
      </c>
      <c r="BN18">
        <v>501.88</v>
      </c>
      <c r="BO18">
        <v>35.26</v>
      </c>
      <c r="BP18" t="s">
        <v>107</v>
      </c>
      <c r="BQ18">
        <v>8.31</v>
      </c>
      <c r="BR18" t="s">
        <v>107</v>
      </c>
      <c r="BS18">
        <v>23.67</v>
      </c>
      <c r="BT18" t="s">
        <v>107</v>
      </c>
      <c r="BU18">
        <v>12.04</v>
      </c>
      <c r="BV18" t="s">
        <v>107</v>
      </c>
      <c r="BW18">
        <v>7.39</v>
      </c>
      <c r="BX18" t="s">
        <v>107</v>
      </c>
      <c r="BY18">
        <v>9.09</v>
      </c>
      <c r="BZ18" t="s">
        <v>107</v>
      </c>
      <c r="CA18">
        <v>6.29</v>
      </c>
      <c r="CB18" t="s">
        <v>107</v>
      </c>
      <c r="CC18">
        <v>7.24</v>
      </c>
      <c r="CD18">
        <v>493745.34</v>
      </c>
      <c r="CE18">
        <v>2430</v>
      </c>
      <c r="CF18">
        <v>16.75</v>
      </c>
      <c r="CG18">
        <v>1.86</v>
      </c>
      <c r="CH18">
        <v>10.56</v>
      </c>
      <c r="CI18">
        <v>4.71</v>
      </c>
      <c r="CJ18" t="s">
        <v>107</v>
      </c>
      <c r="CK18">
        <v>1.5</v>
      </c>
      <c r="CL18" t="s">
        <v>107</v>
      </c>
      <c r="CM18">
        <v>1.5</v>
      </c>
      <c r="CN18" t="s">
        <v>107</v>
      </c>
      <c r="CO18">
        <v>1.5</v>
      </c>
      <c r="CP18">
        <v>71930.73</v>
      </c>
      <c r="CQ18">
        <v>1983.3</v>
      </c>
      <c r="CR18">
        <v>1001.75</v>
      </c>
      <c r="CS18">
        <v>320.75</v>
      </c>
      <c r="CT18">
        <v>333036.28000000003</v>
      </c>
      <c r="CU18">
        <v>1929.83</v>
      </c>
      <c r="CV18" s="16">
        <f t="shared" si="1"/>
        <v>33.303628000000003</v>
      </c>
      <c r="CW18" t="s">
        <v>107</v>
      </c>
      <c r="CX18">
        <v>55.19</v>
      </c>
      <c r="CY18">
        <v>7609.86</v>
      </c>
      <c r="CZ18">
        <v>3901.13</v>
      </c>
    </row>
    <row r="19" spans="1:104" x14ac:dyDescent="0.2">
      <c r="A19">
        <v>21</v>
      </c>
      <c r="B19">
        <v>1693</v>
      </c>
      <c r="C19" s="1">
        <v>42087.720138888886</v>
      </c>
      <c r="D19" t="s">
        <v>102</v>
      </c>
      <c r="E19">
        <v>121</v>
      </c>
      <c r="F19" t="s">
        <v>103</v>
      </c>
      <c r="G19">
        <v>2</v>
      </c>
      <c r="H19" t="s">
        <v>104</v>
      </c>
      <c r="I19" t="s">
        <v>105</v>
      </c>
      <c r="J19" t="s">
        <v>124</v>
      </c>
      <c r="O19" t="s">
        <v>107</v>
      </c>
      <c r="P19">
        <v>4.3</v>
      </c>
      <c r="Q19">
        <v>389.6</v>
      </c>
      <c r="R19">
        <f t="shared" si="0"/>
        <v>3.8960000000000002E-2</v>
      </c>
      <c r="S19">
        <v>7.76</v>
      </c>
      <c r="T19">
        <v>167.99</v>
      </c>
      <c r="U19">
        <v>4.47</v>
      </c>
      <c r="V19">
        <v>8.6999999999999993</v>
      </c>
      <c r="W19">
        <v>5.75</v>
      </c>
      <c r="X19">
        <v>60.63</v>
      </c>
      <c r="Y19">
        <v>2.2200000000000002</v>
      </c>
      <c r="Z19">
        <v>8.4700000000000006</v>
      </c>
      <c r="AA19">
        <v>3.33</v>
      </c>
      <c r="AB19">
        <v>19.54</v>
      </c>
      <c r="AC19">
        <v>4.59</v>
      </c>
      <c r="AD19" t="s">
        <v>107</v>
      </c>
      <c r="AE19">
        <v>6.7</v>
      </c>
      <c r="AF19" t="s">
        <v>107</v>
      </c>
      <c r="AG19">
        <v>3.65</v>
      </c>
      <c r="AH19" t="s">
        <v>107</v>
      </c>
      <c r="AI19">
        <v>5.15</v>
      </c>
      <c r="AJ19" t="s">
        <v>107</v>
      </c>
      <c r="AK19">
        <v>9.66</v>
      </c>
      <c r="AL19">
        <v>87.76</v>
      </c>
      <c r="AM19">
        <v>11.02</v>
      </c>
      <c r="AN19" t="s">
        <v>107</v>
      </c>
      <c r="AO19">
        <v>40.71</v>
      </c>
      <c r="AP19">
        <v>31.23</v>
      </c>
      <c r="AQ19">
        <v>12.89</v>
      </c>
      <c r="AR19">
        <v>60.64</v>
      </c>
      <c r="AS19">
        <v>23.03</v>
      </c>
      <c r="AT19" t="s">
        <v>107</v>
      </c>
      <c r="AU19">
        <v>165.88</v>
      </c>
      <c r="AV19">
        <v>48569.98</v>
      </c>
      <c r="AW19">
        <v>426.5</v>
      </c>
      <c r="AX19">
        <v>718.29</v>
      </c>
      <c r="AY19">
        <v>67.03</v>
      </c>
      <c r="AZ19">
        <v>155.88</v>
      </c>
      <c r="BA19">
        <v>23.34</v>
      </c>
      <c r="BB19">
        <v>151.62</v>
      </c>
      <c r="BC19">
        <v>35.700000000000003</v>
      </c>
      <c r="BD19">
        <v>5916.42</v>
      </c>
      <c r="BE19">
        <v>118.09</v>
      </c>
      <c r="BF19" t="s">
        <v>107</v>
      </c>
      <c r="BG19">
        <v>40.6</v>
      </c>
      <c r="BH19">
        <v>11780.74</v>
      </c>
      <c r="BI19">
        <v>511.65</v>
      </c>
      <c r="BJ19">
        <v>24664.9</v>
      </c>
      <c r="BK19">
        <v>446.21</v>
      </c>
      <c r="BL19" t="s">
        <v>107</v>
      </c>
      <c r="BM19">
        <v>254.57</v>
      </c>
      <c r="BN19">
        <v>549.5</v>
      </c>
      <c r="BO19">
        <v>35.94</v>
      </c>
      <c r="BP19" t="s">
        <v>107</v>
      </c>
      <c r="BQ19">
        <v>8.42</v>
      </c>
      <c r="BR19" t="s">
        <v>107</v>
      </c>
      <c r="BS19">
        <v>24.12</v>
      </c>
      <c r="BT19" t="s">
        <v>107</v>
      </c>
      <c r="BU19">
        <v>12.21</v>
      </c>
      <c r="BV19" t="s">
        <v>107</v>
      </c>
      <c r="BW19">
        <v>7.52</v>
      </c>
      <c r="BX19" t="s">
        <v>107</v>
      </c>
      <c r="BY19">
        <v>9.33</v>
      </c>
      <c r="BZ19" t="s">
        <v>107</v>
      </c>
      <c r="CA19">
        <v>6.48</v>
      </c>
      <c r="CB19" t="s">
        <v>107</v>
      </c>
      <c r="CC19">
        <v>7.47</v>
      </c>
      <c r="CD19">
        <v>491050.03</v>
      </c>
      <c r="CE19">
        <v>2425.09</v>
      </c>
      <c r="CF19">
        <v>17.38</v>
      </c>
      <c r="CG19">
        <v>1.87</v>
      </c>
      <c r="CH19" t="s">
        <v>107</v>
      </c>
      <c r="CI19">
        <v>6.8</v>
      </c>
      <c r="CJ19" t="s">
        <v>107</v>
      </c>
      <c r="CK19">
        <v>1.5</v>
      </c>
      <c r="CL19" t="s">
        <v>107</v>
      </c>
      <c r="CM19">
        <v>1.5</v>
      </c>
      <c r="CN19" t="s">
        <v>107</v>
      </c>
      <c r="CO19">
        <v>1.5</v>
      </c>
      <c r="CP19">
        <v>72816.61</v>
      </c>
      <c r="CQ19">
        <v>1968.61</v>
      </c>
      <c r="CR19">
        <v>1262.58</v>
      </c>
      <c r="CS19">
        <v>320.58999999999997</v>
      </c>
      <c r="CT19">
        <v>335322.84000000003</v>
      </c>
      <c r="CU19">
        <v>1915.18</v>
      </c>
      <c r="CV19" s="16">
        <f t="shared" si="1"/>
        <v>33.532284000000004</v>
      </c>
      <c r="CW19" t="s">
        <v>107</v>
      </c>
      <c r="CX19">
        <v>54.99</v>
      </c>
      <c r="CY19">
        <v>6201.18</v>
      </c>
      <c r="CZ19">
        <v>3783.32</v>
      </c>
    </row>
    <row r="20" spans="1:104" x14ac:dyDescent="0.2">
      <c r="A20">
        <v>43</v>
      </c>
      <c r="B20">
        <v>1428</v>
      </c>
      <c r="C20" s="1">
        <v>41961.623611111114</v>
      </c>
      <c r="D20" t="s">
        <v>102</v>
      </c>
      <c r="E20">
        <v>121</v>
      </c>
      <c r="F20" t="s">
        <v>103</v>
      </c>
      <c r="G20">
        <v>2</v>
      </c>
      <c r="H20" t="s">
        <v>104</v>
      </c>
      <c r="I20" t="s">
        <v>105</v>
      </c>
      <c r="J20" t="s">
        <v>125</v>
      </c>
      <c r="N20" t="s">
        <v>126</v>
      </c>
      <c r="O20">
        <v>7.82</v>
      </c>
      <c r="P20">
        <v>2.82</v>
      </c>
      <c r="Q20">
        <v>422.13</v>
      </c>
      <c r="R20">
        <f t="shared" si="0"/>
        <v>4.2213000000000001E-2</v>
      </c>
      <c r="S20">
        <v>7.51</v>
      </c>
      <c r="T20">
        <v>74.23</v>
      </c>
      <c r="U20">
        <v>2.98</v>
      </c>
      <c r="V20" t="s">
        <v>107</v>
      </c>
      <c r="W20">
        <v>6.43</v>
      </c>
      <c r="X20">
        <v>32.78</v>
      </c>
      <c r="Y20">
        <v>1.62</v>
      </c>
      <c r="Z20">
        <v>7.85</v>
      </c>
      <c r="AA20">
        <v>4.57</v>
      </c>
      <c r="AB20">
        <v>469.78</v>
      </c>
      <c r="AC20">
        <v>17.53</v>
      </c>
      <c r="AD20" t="s">
        <v>107</v>
      </c>
      <c r="AE20">
        <v>17.649999999999999</v>
      </c>
      <c r="AF20">
        <v>468.15</v>
      </c>
      <c r="AG20">
        <v>11.35</v>
      </c>
      <c r="AH20">
        <v>416.79</v>
      </c>
      <c r="AI20">
        <v>15.9</v>
      </c>
      <c r="AJ20">
        <v>12.17</v>
      </c>
      <c r="AK20">
        <v>6.32</v>
      </c>
      <c r="AL20">
        <v>37.4</v>
      </c>
      <c r="AM20">
        <v>7.68</v>
      </c>
      <c r="AN20" t="s">
        <v>107</v>
      </c>
      <c r="AO20">
        <v>34.5</v>
      </c>
      <c r="AP20">
        <v>25.48</v>
      </c>
      <c r="AQ20">
        <v>11.51</v>
      </c>
      <c r="AR20" t="s">
        <v>107</v>
      </c>
      <c r="AS20">
        <v>30.28</v>
      </c>
      <c r="AT20" t="s">
        <v>107</v>
      </c>
      <c r="AU20">
        <v>95.51</v>
      </c>
      <c r="AV20">
        <v>18484.39</v>
      </c>
      <c r="AW20">
        <v>242.6</v>
      </c>
      <c r="AX20">
        <v>103.11</v>
      </c>
      <c r="AY20">
        <v>44.57</v>
      </c>
      <c r="AZ20">
        <v>505.05</v>
      </c>
      <c r="BA20">
        <v>16.25</v>
      </c>
      <c r="BB20">
        <v>91.48</v>
      </c>
      <c r="BC20">
        <v>27.91</v>
      </c>
      <c r="BD20">
        <v>3532.33</v>
      </c>
      <c r="BE20">
        <v>88.11</v>
      </c>
      <c r="BF20" t="s">
        <v>107</v>
      </c>
      <c r="BG20">
        <v>29.89</v>
      </c>
      <c r="BH20">
        <v>7190.39</v>
      </c>
      <c r="BI20">
        <v>134.49</v>
      </c>
      <c r="BJ20">
        <v>12189.25</v>
      </c>
      <c r="BK20">
        <v>234.75</v>
      </c>
      <c r="BL20">
        <v>331.17</v>
      </c>
      <c r="BM20">
        <v>59.69</v>
      </c>
      <c r="BN20">
        <v>696.81</v>
      </c>
      <c r="BO20">
        <v>33.57</v>
      </c>
      <c r="BP20" t="s">
        <v>107</v>
      </c>
      <c r="BQ20">
        <v>7.62</v>
      </c>
      <c r="BR20" t="s">
        <v>107</v>
      </c>
      <c r="BS20">
        <v>21.7</v>
      </c>
      <c r="BT20" t="s">
        <v>107</v>
      </c>
      <c r="BU20">
        <v>12.23</v>
      </c>
      <c r="BV20" t="s">
        <v>107</v>
      </c>
      <c r="BW20">
        <v>7.94</v>
      </c>
      <c r="BX20">
        <v>442.3</v>
      </c>
      <c r="BY20">
        <v>10.94</v>
      </c>
      <c r="BZ20">
        <v>441.3</v>
      </c>
      <c r="CA20">
        <v>9.9499999999999993</v>
      </c>
      <c r="CB20">
        <v>9.14</v>
      </c>
      <c r="CC20">
        <v>3.21</v>
      </c>
      <c r="CD20">
        <v>579462.93999999994</v>
      </c>
      <c r="CE20">
        <v>2077.8200000000002</v>
      </c>
      <c r="CF20">
        <v>10.33</v>
      </c>
      <c r="CG20">
        <v>1.68</v>
      </c>
      <c r="CH20" t="s">
        <v>107</v>
      </c>
      <c r="CI20">
        <v>12.39</v>
      </c>
      <c r="CJ20" t="s">
        <v>107</v>
      </c>
      <c r="CK20">
        <v>1.5</v>
      </c>
      <c r="CL20" t="s">
        <v>107</v>
      </c>
      <c r="CM20">
        <v>1.5</v>
      </c>
      <c r="CN20" t="s">
        <v>107</v>
      </c>
      <c r="CO20">
        <v>1.5</v>
      </c>
      <c r="CP20">
        <v>44532.82</v>
      </c>
      <c r="CQ20">
        <v>1289.2</v>
      </c>
      <c r="CR20" t="s">
        <v>107</v>
      </c>
      <c r="CS20">
        <v>390.15</v>
      </c>
      <c r="CT20">
        <v>321232.44</v>
      </c>
      <c r="CU20">
        <v>1884.55</v>
      </c>
      <c r="CV20" s="16">
        <f t="shared" si="1"/>
        <v>32.123244</v>
      </c>
      <c r="CW20" t="s">
        <v>107</v>
      </c>
      <c r="CX20">
        <v>46.17</v>
      </c>
      <c r="CY20">
        <v>10916.82</v>
      </c>
      <c r="CZ20">
        <v>3059.08</v>
      </c>
    </row>
    <row r="21" spans="1:104" x14ac:dyDescent="0.2">
      <c r="A21">
        <v>44</v>
      </c>
      <c r="B21">
        <v>1429</v>
      </c>
      <c r="C21" s="1">
        <v>41961.625694444447</v>
      </c>
      <c r="D21" t="s">
        <v>102</v>
      </c>
      <c r="E21">
        <v>121</v>
      </c>
      <c r="F21" t="s">
        <v>103</v>
      </c>
      <c r="G21">
        <v>2</v>
      </c>
      <c r="H21" t="s">
        <v>104</v>
      </c>
      <c r="I21" t="s">
        <v>105</v>
      </c>
      <c r="J21" t="s">
        <v>127</v>
      </c>
      <c r="N21" t="s">
        <v>128</v>
      </c>
      <c r="O21">
        <v>6.76</v>
      </c>
      <c r="P21">
        <v>2.71</v>
      </c>
      <c r="Q21">
        <v>414.46</v>
      </c>
      <c r="R21">
        <f t="shared" si="0"/>
        <v>4.1445999999999997E-2</v>
      </c>
      <c r="S21">
        <v>7.21</v>
      </c>
      <c r="T21">
        <v>72.88</v>
      </c>
      <c r="U21">
        <v>2.86</v>
      </c>
      <c r="V21" t="s">
        <v>107</v>
      </c>
      <c r="W21">
        <v>6.14</v>
      </c>
      <c r="X21">
        <v>32.619999999999997</v>
      </c>
      <c r="Y21">
        <v>1.57</v>
      </c>
      <c r="Z21" t="s">
        <v>107</v>
      </c>
      <c r="AA21">
        <v>6.56</v>
      </c>
      <c r="AB21">
        <v>480.58</v>
      </c>
      <c r="AC21">
        <v>17.13</v>
      </c>
      <c r="AD21" t="s">
        <v>107</v>
      </c>
      <c r="AE21">
        <v>17.41</v>
      </c>
      <c r="AF21">
        <v>470.52</v>
      </c>
      <c r="AG21">
        <v>11.03</v>
      </c>
      <c r="AH21">
        <v>407.81</v>
      </c>
      <c r="AI21">
        <v>15.4</v>
      </c>
      <c r="AJ21" t="s">
        <v>107</v>
      </c>
      <c r="AK21">
        <v>9.11</v>
      </c>
      <c r="AL21">
        <v>38.15</v>
      </c>
      <c r="AM21">
        <v>7.47</v>
      </c>
      <c r="AN21" t="s">
        <v>107</v>
      </c>
      <c r="AO21">
        <v>33.369999999999997</v>
      </c>
      <c r="AP21">
        <v>24.57</v>
      </c>
      <c r="AQ21">
        <v>11.12</v>
      </c>
      <c r="AR21" t="s">
        <v>107</v>
      </c>
      <c r="AS21">
        <v>29.42</v>
      </c>
      <c r="AT21" t="s">
        <v>107</v>
      </c>
      <c r="AU21">
        <v>92.85</v>
      </c>
      <c r="AV21">
        <v>18686.240000000002</v>
      </c>
      <c r="AW21">
        <v>236.59</v>
      </c>
      <c r="AX21">
        <v>125.82</v>
      </c>
      <c r="AY21">
        <v>43.91</v>
      </c>
      <c r="AZ21">
        <v>499.65</v>
      </c>
      <c r="BA21">
        <v>16.260000000000002</v>
      </c>
      <c r="BB21">
        <v>111.35</v>
      </c>
      <c r="BC21">
        <v>28.11</v>
      </c>
      <c r="BD21">
        <v>3728.63</v>
      </c>
      <c r="BE21">
        <v>88.75</v>
      </c>
      <c r="BF21" t="s">
        <v>107</v>
      </c>
      <c r="BG21">
        <v>29.81</v>
      </c>
      <c r="BH21">
        <v>7033.99</v>
      </c>
      <c r="BI21">
        <v>133.85</v>
      </c>
      <c r="BJ21">
        <v>12263.2</v>
      </c>
      <c r="BK21">
        <v>236.37</v>
      </c>
      <c r="BL21">
        <v>402.07</v>
      </c>
      <c r="BM21">
        <v>61.98</v>
      </c>
      <c r="BN21">
        <v>718.21</v>
      </c>
      <c r="BO21">
        <v>33.67</v>
      </c>
      <c r="BP21" t="s">
        <v>107</v>
      </c>
      <c r="BQ21">
        <v>7.64</v>
      </c>
      <c r="BR21" t="s">
        <v>107</v>
      </c>
      <c r="BS21">
        <v>21.87</v>
      </c>
      <c r="BT21" t="s">
        <v>107</v>
      </c>
      <c r="BU21">
        <v>12.25</v>
      </c>
      <c r="BV21" t="s">
        <v>107</v>
      </c>
      <c r="BW21">
        <v>7.94</v>
      </c>
      <c r="BX21">
        <v>445.83</v>
      </c>
      <c r="BY21">
        <v>10.97</v>
      </c>
      <c r="BZ21">
        <v>450.03</v>
      </c>
      <c r="CA21">
        <v>10.02</v>
      </c>
      <c r="CB21">
        <v>18.579999999999998</v>
      </c>
      <c r="CC21">
        <v>5.44</v>
      </c>
      <c r="CD21">
        <v>581977.75</v>
      </c>
      <c r="CE21">
        <v>1984.64</v>
      </c>
      <c r="CF21">
        <v>11.57</v>
      </c>
      <c r="CG21">
        <v>1.65</v>
      </c>
      <c r="CH21" t="s">
        <v>107</v>
      </c>
      <c r="CI21">
        <v>8.89</v>
      </c>
      <c r="CJ21" t="s">
        <v>107</v>
      </c>
      <c r="CK21">
        <v>1.5</v>
      </c>
      <c r="CL21" t="s">
        <v>107</v>
      </c>
      <c r="CM21">
        <v>1.5</v>
      </c>
      <c r="CN21" t="s">
        <v>107</v>
      </c>
      <c r="CO21">
        <v>1.5</v>
      </c>
      <c r="CP21">
        <v>44456.93</v>
      </c>
      <c r="CQ21">
        <v>1276.92</v>
      </c>
      <c r="CR21" t="s">
        <v>107</v>
      </c>
      <c r="CS21">
        <v>398.99</v>
      </c>
      <c r="CT21">
        <v>323240.06</v>
      </c>
      <c r="CU21">
        <v>1860.82</v>
      </c>
      <c r="CV21" s="16">
        <f t="shared" si="1"/>
        <v>32.324005999999997</v>
      </c>
      <c r="CW21" t="s">
        <v>107</v>
      </c>
      <c r="CX21">
        <v>46.84</v>
      </c>
      <c r="CY21">
        <v>5968.05</v>
      </c>
      <c r="CZ21">
        <v>2826.85</v>
      </c>
    </row>
    <row r="22" spans="1:104" x14ac:dyDescent="0.2">
      <c r="A22">
        <v>45</v>
      </c>
      <c r="B22">
        <v>1430</v>
      </c>
      <c r="C22" s="1">
        <v>41961.629166666666</v>
      </c>
      <c r="D22" t="s">
        <v>102</v>
      </c>
      <c r="E22">
        <v>121</v>
      </c>
      <c r="F22" t="s">
        <v>103</v>
      </c>
      <c r="G22">
        <v>2</v>
      </c>
      <c r="H22" t="s">
        <v>104</v>
      </c>
      <c r="I22" t="s">
        <v>105</v>
      </c>
      <c r="J22" t="s">
        <v>129</v>
      </c>
      <c r="N22" t="s">
        <v>130</v>
      </c>
      <c r="O22">
        <v>7.32</v>
      </c>
      <c r="P22">
        <v>2.69</v>
      </c>
      <c r="Q22">
        <v>426.24</v>
      </c>
      <c r="R22">
        <f t="shared" si="0"/>
        <v>4.2624000000000002E-2</v>
      </c>
      <c r="S22">
        <v>7.18</v>
      </c>
      <c r="T22">
        <v>79.150000000000006</v>
      </c>
      <c r="U22">
        <v>2.91</v>
      </c>
      <c r="V22" t="s">
        <v>107</v>
      </c>
      <c r="W22">
        <v>6.31</v>
      </c>
      <c r="X22">
        <v>32.99</v>
      </c>
      <c r="Y22">
        <v>1.55</v>
      </c>
      <c r="Z22">
        <v>7.26</v>
      </c>
      <c r="AA22">
        <v>4.34</v>
      </c>
      <c r="AB22">
        <v>473.14</v>
      </c>
      <c r="AC22">
        <v>16.739999999999998</v>
      </c>
      <c r="AD22" t="s">
        <v>107</v>
      </c>
      <c r="AE22">
        <v>17.05</v>
      </c>
      <c r="AF22">
        <v>471.58</v>
      </c>
      <c r="AG22">
        <v>10.85</v>
      </c>
      <c r="AH22">
        <v>420.16</v>
      </c>
      <c r="AI22">
        <v>15.18</v>
      </c>
      <c r="AJ22" t="s">
        <v>107</v>
      </c>
      <c r="AK22">
        <v>8.81</v>
      </c>
      <c r="AL22">
        <v>37.14</v>
      </c>
      <c r="AM22">
        <v>7.31</v>
      </c>
      <c r="AN22">
        <v>169.46</v>
      </c>
      <c r="AO22">
        <v>64.599999999999994</v>
      </c>
      <c r="AP22">
        <v>19.02</v>
      </c>
      <c r="AQ22">
        <v>10.78</v>
      </c>
      <c r="AR22">
        <v>31.65</v>
      </c>
      <c r="AS22">
        <v>19.600000000000001</v>
      </c>
      <c r="AT22" t="s">
        <v>107</v>
      </c>
      <c r="AU22">
        <v>91.58</v>
      </c>
      <c r="AV22">
        <v>18581.46</v>
      </c>
      <c r="AW22">
        <v>231.48</v>
      </c>
      <c r="AX22">
        <v>98.54</v>
      </c>
      <c r="AY22">
        <v>42.31</v>
      </c>
      <c r="AZ22">
        <v>507.56</v>
      </c>
      <c r="BA22">
        <v>16.23</v>
      </c>
      <c r="BB22">
        <v>108.1</v>
      </c>
      <c r="BC22">
        <v>28.06</v>
      </c>
      <c r="BD22">
        <v>3662.88</v>
      </c>
      <c r="BE22">
        <v>88.37</v>
      </c>
      <c r="BF22" t="s">
        <v>107</v>
      </c>
      <c r="BG22">
        <v>29.69</v>
      </c>
      <c r="BH22">
        <v>6960.35</v>
      </c>
      <c r="BI22">
        <v>132.19</v>
      </c>
      <c r="BJ22">
        <v>12260.97</v>
      </c>
      <c r="BK22">
        <v>234.45</v>
      </c>
      <c r="BL22">
        <v>408.99</v>
      </c>
      <c r="BM22">
        <v>66.319999999999993</v>
      </c>
      <c r="BN22">
        <v>698.89</v>
      </c>
      <c r="BO22">
        <v>33.700000000000003</v>
      </c>
      <c r="BP22" t="s">
        <v>107</v>
      </c>
      <c r="BQ22">
        <v>7.64</v>
      </c>
      <c r="BR22" t="s">
        <v>107</v>
      </c>
      <c r="BS22">
        <v>21.78</v>
      </c>
      <c r="BT22" t="s">
        <v>107</v>
      </c>
      <c r="BU22">
        <v>12.37</v>
      </c>
      <c r="BV22" t="s">
        <v>107</v>
      </c>
      <c r="BW22">
        <v>7.94</v>
      </c>
      <c r="BX22">
        <v>444</v>
      </c>
      <c r="BY22">
        <v>10.99</v>
      </c>
      <c r="BZ22">
        <v>443.59</v>
      </c>
      <c r="CA22">
        <v>10</v>
      </c>
      <c r="CB22">
        <v>18.61</v>
      </c>
      <c r="CC22">
        <v>5.46</v>
      </c>
      <c r="CD22">
        <v>577987.75</v>
      </c>
      <c r="CE22">
        <v>1963.42</v>
      </c>
      <c r="CF22">
        <v>12.88</v>
      </c>
      <c r="CG22">
        <v>1.64</v>
      </c>
      <c r="CH22" t="s">
        <v>107</v>
      </c>
      <c r="CI22">
        <v>7.98</v>
      </c>
      <c r="CJ22" t="s">
        <v>107</v>
      </c>
      <c r="CK22">
        <v>1.5</v>
      </c>
      <c r="CL22" t="s">
        <v>107</v>
      </c>
      <c r="CM22">
        <v>1.5</v>
      </c>
      <c r="CN22" t="s">
        <v>107</v>
      </c>
      <c r="CO22">
        <v>1.5</v>
      </c>
      <c r="CP22">
        <v>44521.11</v>
      </c>
      <c r="CQ22">
        <v>1366.17</v>
      </c>
      <c r="CR22" t="s">
        <v>107</v>
      </c>
      <c r="CS22">
        <v>427.78</v>
      </c>
      <c r="CT22">
        <v>326024.65999999997</v>
      </c>
      <c r="CU22">
        <v>1895.36</v>
      </c>
      <c r="CV22" s="16">
        <f t="shared" si="1"/>
        <v>32.602466</v>
      </c>
      <c r="CW22" t="s">
        <v>107</v>
      </c>
      <c r="CX22">
        <v>49.9</v>
      </c>
      <c r="CY22">
        <v>7495.96</v>
      </c>
      <c r="CZ22">
        <v>3110.68</v>
      </c>
    </row>
    <row r="23" spans="1:104" x14ac:dyDescent="0.2">
      <c r="A23">
        <v>46</v>
      </c>
      <c r="B23">
        <v>1431</v>
      </c>
      <c r="C23" s="1">
        <v>41961.631944444445</v>
      </c>
      <c r="D23" t="s">
        <v>102</v>
      </c>
      <c r="E23">
        <v>121</v>
      </c>
      <c r="F23" t="s">
        <v>103</v>
      </c>
      <c r="G23">
        <v>2</v>
      </c>
      <c r="H23" t="s">
        <v>104</v>
      </c>
      <c r="I23" t="s">
        <v>105</v>
      </c>
      <c r="J23" t="s">
        <v>131</v>
      </c>
      <c r="N23" t="s">
        <v>126</v>
      </c>
      <c r="O23">
        <v>21.29</v>
      </c>
      <c r="P23">
        <v>3.06</v>
      </c>
      <c r="Q23">
        <v>430.39</v>
      </c>
      <c r="R23">
        <f t="shared" si="0"/>
        <v>4.3039000000000001E-2</v>
      </c>
      <c r="S23">
        <v>7.8</v>
      </c>
      <c r="T23">
        <v>148.94999999999999</v>
      </c>
      <c r="U23">
        <v>4.09</v>
      </c>
      <c r="V23" t="s">
        <v>107</v>
      </c>
      <c r="W23">
        <v>8.31</v>
      </c>
      <c r="X23">
        <v>72.099999999999994</v>
      </c>
      <c r="Y23">
        <v>2.33</v>
      </c>
      <c r="Z23" t="s">
        <v>107</v>
      </c>
      <c r="AA23">
        <v>9.02</v>
      </c>
      <c r="AB23">
        <v>1178.1500000000001</v>
      </c>
      <c r="AC23">
        <v>26.08</v>
      </c>
      <c r="AD23" t="s">
        <v>107</v>
      </c>
      <c r="AE23">
        <v>8.14</v>
      </c>
      <c r="AF23" t="s">
        <v>107</v>
      </c>
      <c r="AG23">
        <v>4.24</v>
      </c>
      <c r="AH23">
        <v>42.14</v>
      </c>
      <c r="AI23">
        <v>16.46</v>
      </c>
      <c r="AJ23" t="s">
        <v>107</v>
      </c>
      <c r="AK23">
        <v>9.58</v>
      </c>
      <c r="AL23">
        <v>839.59</v>
      </c>
      <c r="AM23">
        <v>24.29</v>
      </c>
      <c r="AN23" t="s">
        <v>107</v>
      </c>
      <c r="AO23">
        <v>41.65</v>
      </c>
      <c r="AP23">
        <v>265.54000000000002</v>
      </c>
      <c r="AQ23">
        <v>18.66</v>
      </c>
      <c r="AR23">
        <v>77.78</v>
      </c>
      <c r="AS23">
        <v>22.31</v>
      </c>
      <c r="AT23" t="s">
        <v>107</v>
      </c>
      <c r="AU23">
        <v>129.80000000000001</v>
      </c>
      <c r="AV23">
        <v>32251.82</v>
      </c>
      <c r="AW23">
        <v>323.29000000000002</v>
      </c>
      <c r="AX23">
        <v>4573.6400000000003</v>
      </c>
      <c r="AY23">
        <v>125.85</v>
      </c>
      <c r="AZ23">
        <v>112.46</v>
      </c>
      <c r="BA23">
        <v>12.76</v>
      </c>
      <c r="BB23">
        <v>105.36</v>
      </c>
      <c r="BC23">
        <v>30.17</v>
      </c>
      <c r="BD23">
        <v>3554.3</v>
      </c>
      <c r="BE23">
        <v>95.04</v>
      </c>
      <c r="BF23" t="s">
        <v>107</v>
      </c>
      <c r="BG23">
        <v>29.05</v>
      </c>
      <c r="BH23">
        <v>4910.4799999999996</v>
      </c>
      <c r="BI23">
        <v>144.19999999999999</v>
      </c>
      <c r="BJ23">
        <v>27787.95</v>
      </c>
      <c r="BK23">
        <v>446.26</v>
      </c>
      <c r="BL23">
        <v>2207.31</v>
      </c>
      <c r="BM23">
        <v>102.61</v>
      </c>
      <c r="BN23">
        <v>788.9</v>
      </c>
      <c r="BO23">
        <v>36.4</v>
      </c>
      <c r="BP23">
        <v>15.07</v>
      </c>
      <c r="BQ23">
        <v>5.5</v>
      </c>
      <c r="BR23" t="s">
        <v>107</v>
      </c>
      <c r="BS23">
        <v>23.62</v>
      </c>
      <c r="BT23" t="s">
        <v>107</v>
      </c>
      <c r="BU23">
        <v>11.9</v>
      </c>
      <c r="BV23" t="s">
        <v>107</v>
      </c>
      <c r="BW23">
        <v>7.38</v>
      </c>
      <c r="BX23" t="s">
        <v>107</v>
      </c>
      <c r="BY23">
        <v>8.99</v>
      </c>
      <c r="BZ23" t="s">
        <v>107</v>
      </c>
      <c r="CA23">
        <v>6.27</v>
      </c>
      <c r="CB23" t="s">
        <v>107</v>
      </c>
      <c r="CC23">
        <v>7.2</v>
      </c>
      <c r="CD23">
        <v>515979.69</v>
      </c>
      <c r="CE23">
        <v>2197.38</v>
      </c>
      <c r="CF23">
        <v>33.869999999999997</v>
      </c>
      <c r="CG23">
        <v>2.08</v>
      </c>
      <c r="CH23" t="s">
        <v>107</v>
      </c>
      <c r="CI23">
        <v>12.69</v>
      </c>
      <c r="CJ23" t="s">
        <v>107</v>
      </c>
      <c r="CK23">
        <v>1.5</v>
      </c>
      <c r="CL23" t="s">
        <v>107</v>
      </c>
      <c r="CM23">
        <v>1.5</v>
      </c>
      <c r="CN23" t="s">
        <v>107</v>
      </c>
      <c r="CO23">
        <v>1.5</v>
      </c>
      <c r="CP23">
        <v>55812.89</v>
      </c>
      <c r="CQ23">
        <v>1645.21</v>
      </c>
      <c r="CR23">
        <v>1043.53</v>
      </c>
      <c r="CS23">
        <v>315.42</v>
      </c>
      <c r="CT23">
        <v>339358.97</v>
      </c>
      <c r="CU23">
        <v>1884.89</v>
      </c>
      <c r="CV23" s="16">
        <f t="shared" si="1"/>
        <v>33.935896999999997</v>
      </c>
      <c r="CW23" t="s">
        <v>107</v>
      </c>
      <c r="CX23">
        <v>56.34</v>
      </c>
      <c r="CY23">
        <v>6057.34</v>
      </c>
      <c r="CZ23">
        <v>3543.36</v>
      </c>
    </row>
    <row r="24" spans="1:104" x14ac:dyDescent="0.2">
      <c r="A24">
        <v>47</v>
      </c>
      <c r="B24">
        <v>1432</v>
      </c>
      <c r="C24" s="1">
        <v>41961.634027777778</v>
      </c>
      <c r="D24" t="s">
        <v>102</v>
      </c>
      <c r="E24">
        <v>121</v>
      </c>
      <c r="F24" t="s">
        <v>103</v>
      </c>
      <c r="G24">
        <v>2</v>
      </c>
      <c r="H24" t="s">
        <v>104</v>
      </c>
      <c r="I24" t="s">
        <v>105</v>
      </c>
      <c r="J24" t="s">
        <v>132</v>
      </c>
      <c r="N24" t="s">
        <v>128</v>
      </c>
      <c r="O24">
        <v>20.329999999999998</v>
      </c>
      <c r="P24">
        <v>3.04</v>
      </c>
      <c r="Q24">
        <v>436.89</v>
      </c>
      <c r="R24">
        <f t="shared" si="0"/>
        <v>4.3688999999999999E-2</v>
      </c>
      <c r="S24">
        <v>7.81</v>
      </c>
      <c r="T24">
        <v>147</v>
      </c>
      <c r="U24">
        <v>4.04</v>
      </c>
      <c r="V24" t="s">
        <v>107</v>
      </c>
      <c r="W24">
        <v>8.3699999999999992</v>
      </c>
      <c r="X24">
        <v>72.099999999999994</v>
      </c>
      <c r="Y24">
        <v>2.3199999999999998</v>
      </c>
      <c r="Z24">
        <v>15.85</v>
      </c>
      <c r="AA24">
        <v>6.1</v>
      </c>
      <c r="AB24">
        <v>1141.2</v>
      </c>
      <c r="AC24">
        <v>25.52</v>
      </c>
      <c r="AD24" t="s">
        <v>107</v>
      </c>
      <c r="AE24">
        <v>8.11</v>
      </c>
      <c r="AF24" t="s">
        <v>107</v>
      </c>
      <c r="AG24">
        <v>4.33</v>
      </c>
      <c r="AH24">
        <v>40.61</v>
      </c>
      <c r="AI24">
        <v>16.13</v>
      </c>
      <c r="AJ24" t="s">
        <v>107</v>
      </c>
      <c r="AK24">
        <v>9.7899999999999991</v>
      </c>
      <c r="AL24">
        <v>832.07</v>
      </c>
      <c r="AM24">
        <v>24.05</v>
      </c>
      <c r="AN24" t="s">
        <v>107</v>
      </c>
      <c r="AO24">
        <v>40.33</v>
      </c>
      <c r="AP24">
        <v>280.64999999999998</v>
      </c>
      <c r="AQ24">
        <v>18.829999999999998</v>
      </c>
      <c r="AR24">
        <v>41.59</v>
      </c>
      <c r="AS24">
        <v>21.46</v>
      </c>
      <c r="AT24" t="s">
        <v>107</v>
      </c>
      <c r="AU24">
        <v>130.21</v>
      </c>
      <c r="AV24">
        <v>32371.05</v>
      </c>
      <c r="AW24">
        <v>322.18</v>
      </c>
      <c r="AX24">
        <v>4547.6499999999996</v>
      </c>
      <c r="AY24">
        <v>124.8</v>
      </c>
      <c r="AZ24">
        <v>98.44</v>
      </c>
      <c r="BA24">
        <v>12.85</v>
      </c>
      <c r="BB24">
        <v>73.959999999999994</v>
      </c>
      <c r="BC24">
        <v>30.46</v>
      </c>
      <c r="BD24">
        <v>3520.62</v>
      </c>
      <c r="BE24">
        <v>97.32</v>
      </c>
      <c r="BF24" t="s">
        <v>107</v>
      </c>
      <c r="BG24">
        <v>29.45</v>
      </c>
      <c r="BH24">
        <v>4782.74</v>
      </c>
      <c r="BI24">
        <v>147.56</v>
      </c>
      <c r="BJ24">
        <v>27804.5</v>
      </c>
      <c r="BK24">
        <v>457.32</v>
      </c>
      <c r="BL24">
        <v>2119.23</v>
      </c>
      <c r="BM24">
        <v>98.94</v>
      </c>
      <c r="BN24">
        <v>778.53</v>
      </c>
      <c r="BO24">
        <v>36.26</v>
      </c>
      <c r="BP24">
        <v>20.45</v>
      </c>
      <c r="BQ24">
        <v>5.52</v>
      </c>
      <c r="BR24" t="s">
        <v>107</v>
      </c>
      <c r="BS24">
        <v>23.59</v>
      </c>
      <c r="BT24" t="s">
        <v>107</v>
      </c>
      <c r="BU24">
        <v>12.01</v>
      </c>
      <c r="BV24" t="s">
        <v>107</v>
      </c>
      <c r="BW24">
        <v>7.29</v>
      </c>
      <c r="BX24" t="s">
        <v>107</v>
      </c>
      <c r="BY24">
        <v>8.4700000000000006</v>
      </c>
      <c r="BZ24" t="s">
        <v>107</v>
      </c>
      <c r="CA24">
        <v>6.29</v>
      </c>
      <c r="CB24" t="s">
        <v>107</v>
      </c>
      <c r="CC24">
        <v>7.08</v>
      </c>
      <c r="CD24">
        <v>525981.68999999994</v>
      </c>
      <c r="CE24">
        <v>2127.37</v>
      </c>
      <c r="CF24">
        <v>32.130000000000003</v>
      </c>
      <c r="CG24">
        <v>2.04</v>
      </c>
      <c r="CH24">
        <v>11.6</v>
      </c>
      <c r="CI24">
        <v>7.28</v>
      </c>
      <c r="CJ24" t="s">
        <v>107</v>
      </c>
      <c r="CK24">
        <v>1.5</v>
      </c>
      <c r="CL24" t="s">
        <v>107</v>
      </c>
      <c r="CM24">
        <v>1.5</v>
      </c>
      <c r="CN24" t="s">
        <v>107</v>
      </c>
      <c r="CO24">
        <v>1.5</v>
      </c>
      <c r="CP24">
        <v>54689.04</v>
      </c>
      <c r="CQ24">
        <v>1644.98</v>
      </c>
      <c r="CR24">
        <v>929.93</v>
      </c>
      <c r="CS24">
        <v>305.68</v>
      </c>
      <c r="CT24">
        <v>337098.81</v>
      </c>
      <c r="CU24">
        <v>1861.95</v>
      </c>
      <c r="CV24" s="16">
        <f t="shared" si="1"/>
        <v>33.709881000000003</v>
      </c>
      <c r="CW24" t="s">
        <v>107</v>
      </c>
      <c r="CX24">
        <v>54.91</v>
      </c>
      <c r="CY24" t="s">
        <v>107</v>
      </c>
      <c r="CZ24">
        <v>6566.01</v>
      </c>
    </row>
    <row r="25" spans="1:104" x14ac:dyDescent="0.2">
      <c r="A25">
        <v>48</v>
      </c>
      <c r="B25">
        <v>1433</v>
      </c>
      <c r="C25" s="1">
        <v>41961.636111111111</v>
      </c>
      <c r="D25" t="s">
        <v>102</v>
      </c>
      <c r="E25">
        <v>121</v>
      </c>
      <c r="F25" t="s">
        <v>103</v>
      </c>
      <c r="G25">
        <v>2</v>
      </c>
      <c r="H25" t="s">
        <v>104</v>
      </c>
      <c r="I25" t="s">
        <v>105</v>
      </c>
      <c r="J25" t="s">
        <v>133</v>
      </c>
      <c r="N25" t="s">
        <v>130</v>
      </c>
      <c r="O25">
        <v>19.829999999999998</v>
      </c>
      <c r="P25">
        <v>2.91</v>
      </c>
      <c r="Q25">
        <v>385.73</v>
      </c>
      <c r="R25">
        <f t="shared" si="0"/>
        <v>3.8573000000000003E-2</v>
      </c>
      <c r="S25">
        <v>7.21</v>
      </c>
      <c r="T25">
        <v>146.69</v>
      </c>
      <c r="U25">
        <v>3.92</v>
      </c>
      <c r="V25" t="s">
        <v>107</v>
      </c>
      <c r="W25">
        <v>8.16</v>
      </c>
      <c r="X25">
        <v>70.819999999999993</v>
      </c>
      <c r="Y25">
        <v>2.2400000000000002</v>
      </c>
      <c r="Z25">
        <v>15.66</v>
      </c>
      <c r="AA25">
        <v>5.82</v>
      </c>
      <c r="AB25">
        <v>1092.1400000000001</v>
      </c>
      <c r="AC25">
        <v>24.23</v>
      </c>
      <c r="AD25" t="s">
        <v>107</v>
      </c>
      <c r="AE25">
        <v>7.6</v>
      </c>
      <c r="AF25" t="s">
        <v>107</v>
      </c>
      <c r="AG25">
        <v>4.2300000000000004</v>
      </c>
      <c r="AH25">
        <v>45.65</v>
      </c>
      <c r="AI25">
        <v>15.38</v>
      </c>
      <c r="AJ25" t="s">
        <v>107</v>
      </c>
      <c r="AK25">
        <v>9.3699999999999992</v>
      </c>
      <c r="AL25">
        <v>831.11</v>
      </c>
      <c r="AM25">
        <v>23.34</v>
      </c>
      <c r="AN25" t="s">
        <v>107</v>
      </c>
      <c r="AO25">
        <v>40.020000000000003</v>
      </c>
      <c r="AP25">
        <v>276.72000000000003</v>
      </c>
      <c r="AQ25">
        <v>18.239999999999998</v>
      </c>
      <c r="AR25">
        <v>79.849999999999994</v>
      </c>
      <c r="AS25">
        <v>21.55</v>
      </c>
      <c r="AT25" t="s">
        <v>107</v>
      </c>
      <c r="AU25">
        <v>125.13</v>
      </c>
      <c r="AV25">
        <v>32173.75</v>
      </c>
      <c r="AW25">
        <v>312.7</v>
      </c>
      <c r="AX25">
        <v>4617.68</v>
      </c>
      <c r="AY25">
        <v>122.01</v>
      </c>
      <c r="AZ25">
        <v>109.32</v>
      </c>
      <c r="BA25">
        <v>12.52</v>
      </c>
      <c r="BB25">
        <v>92.33</v>
      </c>
      <c r="BC25">
        <v>29.87</v>
      </c>
      <c r="BD25">
        <v>3680.73</v>
      </c>
      <c r="BE25">
        <v>95.07</v>
      </c>
      <c r="BF25" t="s">
        <v>107</v>
      </c>
      <c r="BG25">
        <v>28.7</v>
      </c>
      <c r="BH25">
        <v>4903.37</v>
      </c>
      <c r="BI25">
        <v>142.63</v>
      </c>
      <c r="BJ25">
        <v>27675.31</v>
      </c>
      <c r="BK25">
        <v>438.51</v>
      </c>
      <c r="BL25">
        <v>2051.85</v>
      </c>
      <c r="BM25">
        <v>103.7</v>
      </c>
      <c r="BN25">
        <v>769.85</v>
      </c>
      <c r="BO25">
        <v>37.01</v>
      </c>
      <c r="BP25">
        <v>14.38</v>
      </c>
      <c r="BQ25">
        <v>5.61</v>
      </c>
      <c r="BR25" t="s">
        <v>107</v>
      </c>
      <c r="BS25">
        <v>23.98</v>
      </c>
      <c r="BT25" t="s">
        <v>107</v>
      </c>
      <c r="BU25">
        <v>12.36</v>
      </c>
      <c r="BV25" t="s">
        <v>107</v>
      </c>
      <c r="BW25">
        <v>7.48</v>
      </c>
      <c r="BX25" t="s">
        <v>107</v>
      </c>
      <c r="BY25">
        <v>9.2799999999999994</v>
      </c>
      <c r="BZ25" t="s">
        <v>107</v>
      </c>
      <c r="CA25">
        <v>4.62</v>
      </c>
      <c r="CB25" t="s">
        <v>107</v>
      </c>
      <c r="CC25">
        <v>7.14</v>
      </c>
      <c r="CD25">
        <v>515245.13</v>
      </c>
      <c r="CE25">
        <v>2134.8000000000002</v>
      </c>
      <c r="CF25">
        <v>32.79</v>
      </c>
      <c r="CG25">
        <v>1.99</v>
      </c>
      <c r="CH25">
        <v>12.07</v>
      </c>
      <c r="CI25">
        <v>6.98</v>
      </c>
      <c r="CJ25" t="s">
        <v>107</v>
      </c>
      <c r="CK25">
        <v>1.5</v>
      </c>
      <c r="CL25" t="s">
        <v>107</v>
      </c>
      <c r="CM25">
        <v>1.5</v>
      </c>
      <c r="CN25" t="s">
        <v>107</v>
      </c>
      <c r="CO25">
        <v>1.5</v>
      </c>
      <c r="CP25">
        <v>56466.59</v>
      </c>
      <c r="CQ25">
        <v>1714.19</v>
      </c>
      <c r="CR25">
        <v>1152.51</v>
      </c>
      <c r="CS25">
        <v>327.45</v>
      </c>
      <c r="CT25">
        <v>338813.22</v>
      </c>
      <c r="CU25">
        <v>1890.61</v>
      </c>
      <c r="CV25" s="16">
        <f t="shared" si="1"/>
        <v>33.881321999999997</v>
      </c>
      <c r="CW25" t="s">
        <v>107</v>
      </c>
      <c r="CX25">
        <v>58.66</v>
      </c>
      <c r="CY25">
        <v>6986.98</v>
      </c>
      <c r="CZ25">
        <v>3719.11</v>
      </c>
    </row>
    <row r="26" spans="1:104" x14ac:dyDescent="0.2">
      <c r="A26">
        <v>49</v>
      </c>
      <c r="B26">
        <v>1434</v>
      </c>
      <c r="C26" s="1">
        <v>41961.643750000003</v>
      </c>
      <c r="D26" t="s">
        <v>102</v>
      </c>
      <c r="E26">
        <v>121</v>
      </c>
      <c r="F26" t="s">
        <v>103</v>
      </c>
      <c r="G26">
        <v>2</v>
      </c>
      <c r="H26" t="s">
        <v>104</v>
      </c>
      <c r="I26" t="s">
        <v>105</v>
      </c>
      <c r="J26" t="s">
        <v>134</v>
      </c>
      <c r="N26" t="s">
        <v>135</v>
      </c>
      <c r="O26">
        <v>24.9</v>
      </c>
      <c r="P26">
        <v>3.06</v>
      </c>
      <c r="Q26">
        <v>485.03</v>
      </c>
      <c r="R26">
        <f t="shared" si="0"/>
        <v>4.8502999999999998E-2</v>
      </c>
      <c r="S26">
        <v>7.89</v>
      </c>
      <c r="T26">
        <v>111.07</v>
      </c>
      <c r="U26">
        <v>3.46</v>
      </c>
      <c r="V26" t="s">
        <v>107</v>
      </c>
      <c r="W26">
        <v>8.35</v>
      </c>
      <c r="X26">
        <v>81.540000000000006</v>
      </c>
      <c r="Y26">
        <v>2.41</v>
      </c>
      <c r="Z26">
        <v>46.75</v>
      </c>
      <c r="AA26">
        <v>4.6100000000000003</v>
      </c>
      <c r="AB26">
        <v>48.99</v>
      </c>
      <c r="AC26">
        <v>5.87</v>
      </c>
      <c r="AD26" t="s">
        <v>107</v>
      </c>
      <c r="AE26">
        <v>7.2</v>
      </c>
      <c r="AF26" t="s">
        <v>107</v>
      </c>
      <c r="AG26">
        <v>4.08</v>
      </c>
      <c r="AH26">
        <v>99.72</v>
      </c>
      <c r="AI26">
        <v>6.57</v>
      </c>
      <c r="AJ26" t="s">
        <v>107</v>
      </c>
      <c r="AK26">
        <v>10.72</v>
      </c>
      <c r="AL26">
        <v>54.49</v>
      </c>
      <c r="AM26">
        <v>10.11</v>
      </c>
      <c r="AN26">
        <v>198.37</v>
      </c>
      <c r="AO26">
        <v>29.96</v>
      </c>
      <c r="AP26">
        <v>226.91</v>
      </c>
      <c r="AQ26">
        <v>17.11</v>
      </c>
      <c r="AR26" t="s">
        <v>107</v>
      </c>
      <c r="AS26">
        <v>30.75</v>
      </c>
      <c r="AT26" t="s">
        <v>107</v>
      </c>
      <c r="AU26">
        <v>143.84</v>
      </c>
      <c r="AV26">
        <v>41844.92</v>
      </c>
      <c r="AW26">
        <v>365.86</v>
      </c>
      <c r="AX26">
        <v>425.59</v>
      </c>
      <c r="AY26">
        <v>54.83</v>
      </c>
      <c r="AZ26">
        <v>116.73</v>
      </c>
      <c r="BA26">
        <v>22.12</v>
      </c>
      <c r="BB26">
        <v>109.98</v>
      </c>
      <c r="BC26">
        <v>33.200000000000003</v>
      </c>
      <c r="BD26">
        <v>4949.1899999999996</v>
      </c>
      <c r="BE26">
        <v>110.02</v>
      </c>
      <c r="BF26" t="s">
        <v>107</v>
      </c>
      <c r="BG26">
        <v>38.35</v>
      </c>
      <c r="BH26">
        <v>7833.69</v>
      </c>
      <c r="BI26">
        <v>180.97</v>
      </c>
      <c r="BJ26">
        <v>23753.31</v>
      </c>
      <c r="BK26">
        <v>434.86</v>
      </c>
      <c r="BL26">
        <v>1484.5</v>
      </c>
      <c r="BM26">
        <v>88.44</v>
      </c>
      <c r="BN26">
        <v>381.51</v>
      </c>
      <c r="BO26">
        <v>33.86</v>
      </c>
      <c r="BP26">
        <v>13.28</v>
      </c>
      <c r="BQ26">
        <v>5.48</v>
      </c>
      <c r="BR26" t="s">
        <v>107</v>
      </c>
      <c r="BS26">
        <v>23.58</v>
      </c>
      <c r="BT26" t="s">
        <v>107</v>
      </c>
      <c r="BU26">
        <v>11.84</v>
      </c>
      <c r="BV26">
        <v>10.24</v>
      </c>
      <c r="BW26">
        <v>4.97</v>
      </c>
      <c r="BX26" t="s">
        <v>107</v>
      </c>
      <c r="BY26">
        <v>8.98</v>
      </c>
      <c r="BZ26" t="s">
        <v>107</v>
      </c>
      <c r="CA26">
        <v>6.21</v>
      </c>
      <c r="CB26" t="s">
        <v>107</v>
      </c>
      <c r="CC26">
        <v>7</v>
      </c>
      <c r="CD26">
        <v>548536</v>
      </c>
      <c r="CE26">
        <v>2121.5700000000002</v>
      </c>
      <c r="CF26">
        <v>14.05</v>
      </c>
      <c r="CG26">
        <v>1.7</v>
      </c>
      <c r="CH26">
        <v>60.55</v>
      </c>
      <c r="CI26">
        <v>6.18</v>
      </c>
      <c r="CJ26" t="s">
        <v>107</v>
      </c>
      <c r="CK26">
        <v>1.5</v>
      </c>
      <c r="CL26" t="s">
        <v>107</v>
      </c>
      <c r="CM26">
        <v>1.5</v>
      </c>
      <c r="CN26" t="s">
        <v>107</v>
      </c>
      <c r="CO26">
        <v>1.5</v>
      </c>
      <c r="CP26">
        <v>63055.11</v>
      </c>
      <c r="CQ26">
        <v>1706.41</v>
      </c>
      <c r="CR26">
        <v>1754.04</v>
      </c>
      <c r="CS26">
        <v>288.81</v>
      </c>
      <c r="CT26">
        <v>295730</v>
      </c>
      <c r="CU26">
        <v>1769.55</v>
      </c>
      <c r="CV26" s="16">
        <f t="shared" si="1"/>
        <v>29.573</v>
      </c>
      <c r="CW26" t="s">
        <v>107</v>
      </c>
      <c r="CX26">
        <v>54.3</v>
      </c>
      <c r="CY26">
        <v>8142.14</v>
      </c>
      <c r="CZ26">
        <v>3578.07</v>
      </c>
    </row>
    <row r="27" spans="1:104" x14ac:dyDescent="0.2">
      <c r="A27">
        <v>50</v>
      </c>
      <c r="B27">
        <v>1435</v>
      </c>
      <c r="C27" s="1">
        <v>41961.646527777775</v>
      </c>
      <c r="D27" t="s">
        <v>102</v>
      </c>
      <c r="E27">
        <v>121</v>
      </c>
      <c r="F27" t="s">
        <v>103</v>
      </c>
      <c r="G27">
        <v>2</v>
      </c>
      <c r="H27" t="s">
        <v>104</v>
      </c>
      <c r="I27" t="s">
        <v>105</v>
      </c>
      <c r="J27" t="s">
        <v>136</v>
      </c>
      <c r="N27" t="s">
        <v>128</v>
      </c>
      <c r="O27">
        <v>23.73</v>
      </c>
      <c r="P27">
        <v>3.08</v>
      </c>
      <c r="Q27">
        <v>488.08</v>
      </c>
      <c r="R27">
        <f t="shared" si="0"/>
        <v>4.8807999999999997E-2</v>
      </c>
      <c r="S27">
        <v>7.99</v>
      </c>
      <c r="T27">
        <v>111.41</v>
      </c>
      <c r="U27">
        <v>3.5</v>
      </c>
      <c r="V27" t="s">
        <v>107</v>
      </c>
      <c r="W27">
        <v>8.6300000000000008</v>
      </c>
      <c r="X27">
        <v>84.24</v>
      </c>
      <c r="Y27">
        <v>2.48</v>
      </c>
      <c r="Z27">
        <v>53.97</v>
      </c>
      <c r="AA27">
        <v>4.8600000000000003</v>
      </c>
      <c r="AB27">
        <v>45.67</v>
      </c>
      <c r="AC27">
        <v>5.81</v>
      </c>
      <c r="AD27">
        <v>8.5299999999999994</v>
      </c>
      <c r="AE27">
        <v>5.08</v>
      </c>
      <c r="AF27">
        <v>4.3</v>
      </c>
      <c r="AG27">
        <v>2.82</v>
      </c>
      <c r="AH27">
        <v>105.4</v>
      </c>
      <c r="AI27">
        <v>6.68</v>
      </c>
      <c r="AJ27" t="s">
        <v>107</v>
      </c>
      <c r="AK27">
        <v>10.99</v>
      </c>
      <c r="AL27">
        <v>49.6</v>
      </c>
      <c r="AM27">
        <v>10.09</v>
      </c>
      <c r="AN27">
        <v>187.43</v>
      </c>
      <c r="AO27">
        <v>30.17</v>
      </c>
      <c r="AP27">
        <v>224.54</v>
      </c>
      <c r="AQ27">
        <v>17.25</v>
      </c>
      <c r="AR27">
        <v>58.96</v>
      </c>
      <c r="AS27">
        <v>21.49</v>
      </c>
      <c r="AT27" t="s">
        <v>107</v>
      </c>
      <c r="AU27">
        <v>144.03</v>
      </c>
      <c r="AV27">
        <v>41718.339999999997</v>
      </c>
      <c r="AW27">
        <v>368.26</v>
      </c>
      <c r="AX27">
        <v>438.19</v>
      </c>
      <c r="AY27">
        <v>55.42</v>
      </c>
      <c r="AZ27">
        <v>94.89</v>
      </c>
      <c r="BA27">
        <v>22.29</v>
      </c>
      <c r="BB27">
        <v>78.53</v>
      </c>
      <c r="BC27">
        <v>33.46</v>
      </c>
      <c r="BD27">
        <v>5090.88</v>
      </c>
      <c r="BE27">
        <v>112.4</v>
      </c>
      <c r="BF27" t="s">
        <v>107</v>
      </c>
      <c r="BG27">
        <v>38.659999999999997</v>
      </c>
      <c r="BH27">
        <v>7796.13</v>
      </c>
      <c r="BI27">
        <v>180.69</v>
      </c>
      <c r="BJ27">
        <v>24004.69</v>
      </c>
      <c r="BK27">
        <v>435.64</v>
      </c>
      <c r="BL27">
        <v>1524.95</v>
      </c>
      <c r="BM27">
        <v>90.04</v>
      </c>
      <c r="BN27">
        <v>403.27</v>
      </c>
      <c r="BO27">
        <v>33.5</v>
      </c>
      <c r="BP27">
        <v>16.48</v>
      </c>
      <c r="BQ27">
        <v>5.42</v>
      </c>
      <c r="BR27" t="s">
        <v>107</v>
      </c>
      <c r="BS27">
        <v>23.23</v>
      </c>
      <c r="BT27" t="s">
        <v>107</v>
      </c>
      <c r="BU27">
        <v>11.74</v>
      </c>
      <c r="BV27">
        <v>21.69</v>
      </c>
      <c r="BW27">
        <v>10.130000000000001</v>
      </c>
      <c r="BX27" t="s">
        <v>107</v>
      </c>
      <c r="BY27">
        <v>8.92</v>
      </c>
      <c r="BZ27" t="s">
        <v>107</v>
      </c>
      <c r="CA27">
        <v>6.11</v>
      </c>
      <c r="CB27" t="s">
        <v>107</v>
      </c>
      <c r="CC27">
        <v>7.02</v>
      </c>
      <c r="CD27">
        <v>542145.63</v>
      </c>
      <c r="CE27">
        <v>2177.36</v>
      </c>
      <c r="CF27">
        <v>16.309999999999999</v>
      </c>
      <c r="CG27">
        <v>1.76</v>
      </c>
      <c r="CH27">
        <v>66.400000000000006</v>
      </c>
      <c r="CI27">
        <v>6.41</v>
      </c>
      <c r="CJ27" t="s">
        <v>107</v>
      </c>
      <c r="CK27">
        <v>1.5</v>
      </c>
      <c r="CL27" t="s">
        <v>107</v>
      </c>
      <c r="CM27">
        <v>1.5</v>
      </c>
      <c r="CN27" t="s">
        <v>107</v>
      </c>
      <c r="CO27">
        <v>1.5</v>
      </c>
      <c r="CP27">
        <v>63576.800000000003</v>
      </c>
      <c r="CQ27">
        <v>1760.13</v>
      </c>
      <c r="CR27">
        <v>1965.52</v>
      </c>
      <c r="CS27">
        <v>294.77</v>
      </c>
      <c r="CT27">
        <v>296759.21999999997</v>
      </c>
      <c r="CU27">
        <v>1786.94</v>
      </c>
      <c r="CV27" s="16">
        <f t="shared" si="1"/>
        <v>29.675921999999996</v>
      </c>
      <c r="CW27" t="s">
        <v>107</v>
      </c>
      <c r="CX27">
        <v>54.02</v>
      </c>
      <c r="CY27">
        <v>12165.61</v>
      </c>
      <c r="CZ27">
        <v>3848.82</v>
      </c>
    </row>
    <row r="28" spans="1:104" x14ac:dyDescent="0.2">
      <c r="A28">
        <v>51</v>
      </c>
      <c r="B28">
        <v>1436</v>
      </c>
      <c r="C28" s="1">
        <v>41961.648611111108</v>
      </c>
      <c r="D28" t="s">
        <v>102</v>
      </c>
      <c r="E28">
        <v>121</v>
      </c>
      <c r="F28" t="s">
        <v>103</v>
      </c>
      <c r="G28">
        <v>2</v>
      </c>
      <c r="H28" t="s">
        <v>104</v>
      </c>
      <c r="I28" t="s">
        <v>105</v>
      </c>
      <c r="J28" t="s">
        <v>137</v>
      </c>
      <c r="N28" t="s">
        <v>130</v>
      </c>
      <c r="O28">
        <v>27.12</v>
      </c>
      <c r="P28">
        <v>3.27</v>
      </c>
      <c r="Q28">
        <v>471.28</v>
      </c>
      <c r="R28">
        <f t="shared" si="0"/>
        <v>4.7127999999999996E-2</v>
      </c>
      <c r="S28">
        <v>8.25</v>
      </c>
      <c r="T28">
        <v>111.04</v>
      </c>
      <c r="U28">
        <v>3.66</v>
      </c>
      <c r="V28" t="s">
        <v>107</v>
      </c>
      <c r="W28">
        <v>8.9700000000000006</v>
      </c>
      <c r="X28">
        <v>81.7</v>
      </c>
      <c r="Y28">
        <v>2.56</v>
      </c>
      <c r="Z28">
        <v>45.45</v>
      </c>
      <c r="AA28">
        <v>4.8499999999999996</v>
      </c>
      <c r="AB28">
        <v>53.02</v>
      </c>
      <c r="AC28">
        <v>6.39</v>
      </c>
      <c r="AD28">
        <v>8.7799999999999994</v>
      </c>
      <c r="AE28">
        <v>5.3</v>
      </c>
      <c r="AF28" t="s">
        <v>107</v>
      </c>
      <c r="AG28">
        <v>4.38</v>
      </c>
      <c r="AH28">
        <v>101.85</v>
      </c>
      <c r="AI28">
        <v>7.07</v>
      </c>
      <c r="AJ28" t="s">
        <v>107</v>
      </c>
      <c r="AK28">
        <v>11.31</v>
      </c>
      <c r="AL28">
        <v>48.02</v>
      </c>
      <c r="AM28">
        <v>10.39</v>
      </c>
      <c r="AN28">
        <v>176.25</v>
      </c>
      <c r="AO28">
        <v>31.33</v>
      </c>
      <c r="AP28">
        <v>207.42</v>
      </c>
      <c r="AQ28">
        <v>17.690000000000001</v>
      </c>
      <c r="AR28">
        <v>59.17</v>
      </c>
      <c r="AS28">
        <v>22.62</v>
      </c>
      <c r="AT28" t="s">
        <v>107</v>
      </c>
      <c r="AU28">
        <v>152</v>
      </c>
      <c r="AV28">
        <v>41907.269999999997</v>
      </c>
      <c r="AW28">
        <v>387.75</v>
      </c>
      <c r="AX28">
        <v>437.06</v>
      </c>
      <c r="AY28">
        <v>58.06</v>
      </c>
      <c r="AZ28">
        <v>112.97</v>
      </c>
      <c r="BA28">
        <v>21.65</v>
      </c>
      <c r="BB28">
        <v>124.65</v>
      </c>
      <c r="BC28">
        <v>42.22</v>
      </c>
      <c r="BD28">
        <v>4961.4399999999996</v>
      </c>
      <c r="BE28">
        <v>108.84</v>
      </c>
      <c r="BF28" t="s">
        <v>107</v>
      </c>
      <c r="BG28">
        <v>38.229999999999997</v>
      </c>
      <c r="BH28">
        <v>8041.68</v>
      </c>
      <c r="BI28">
        <v>180.03</v>
      </c>
      <c r="BJ28">
        <v>24606.93</v>
      </c>
      <c r="BK28">
        <v>437.37</v>
      </c>
      <c r="BL28">
        <v>1611.6</v>
      </c>
      <c r="BM28">
        <v>95.72</v>
      </c>
      <c r="BN28">
        <v>422.48</v>
      </c>
      <c r="BO28">
        <v>33.68</v>
      </c>
      <c r="BP28">
        <v>13.24</v>
      </c>
      <c r="BQ28">
        <v>5.41</v>
      </c>
      <c r="BR28" t="s">
        <v>107</v>
      </c>
      <c r="BS28">
        <v>23.17</v>
      </c>
      <c r="BT28" t="s">
        <v>107</v>
      </c>
      <c r="BU28">
        <v>11.8</v>
      </c>
      <c r="BV28">
        <v>19.62</v>
      </c>
      <c r="BW28">
        <v>10.17</v>
      </c>
      <c r="BX28" t="s">
        <v>107</v>
      </c>
      <c r="BY28">
        <v>8.81</v>
      </c>
      <c r="BZ28" t="s">
        <v>107</v>
      </c>
      <c r="CA28">
        <v>6.04</v>
      </c>
      <c r="CB28" t="s">
        <v>107</v>
      </c>
      <c r="CC28">
        <v>6.91</v>
      </c>
      <c r="CD28">
        <v>541922.06000000006</v>
      </c>
      <c r="CE28">
        <v>2268.39</v>
      </c>
      <c r="CF28">
        <v>15.39</v>
      </c>
      <c r="CG28">
        <v>1.83</v>
      </c>
      <c r="CH28">
        <v>56.3</v>
      </c>
      <c r="CI28">
        <v>6.44</v>
      </c>
      <c r="CJ28" t="s">
        <v>107</v>
      </c>
      <c r="CK28">
        <v>1.5</v>
      </c>
      <c r="CL28" t="s">
        <v>107</v>
      </c>
      <c r="CM28">
        <v>1.5</v>
      </c>
      <c r="CN28" t="s">
        <v>107</v>
      </c>
      <c r="CO28">
        <v>1.5</v>
      </c>
      <c r="CP28">
        <v>63830.43</v>
      </c>
      <c r="CQ28">
        <v>1826.18</v>
      </c>
      <c r="CR28">
        <v>1338.82</v>
      </c>
      <c r="CS28">
        <v>304.74</v>
      </c>
      <c r="CT28">
        <v>299915.09000000003</v>
      </c>
      <c r="CU28">
        <v>1874.51</v>
      </c>
      <c r="CV28" s="16">
        <f t="shared" si="1"/>
        <v>29.991509000000004</v>
      </c>
      <c r="CW28" t="s">
        <v>107</v>
      </c>
      <c r="CX28">
        <v>57.09</v>
      </c>
      <c r="CY28">
        <v>8631.0499999999993</v>
      </c>
      <c r="CZ28">
        <v>3831.95</v>
      </c>
    </row>
    <row r="29" spans="1:104" x14ac:dyDescent="0.2">
      <c r="A29">
        <v>13</v>
      </c>
      <c r="B29">
        <v>1398</v>
      </c>
      <c r="C29" s="1">
        <v>41961.490972222222</v>
      </c>
      <c r="D29" t="s">
        <v>102</v>
      </c>
      <c r="E29">
        <v>121</v>
      </c>
      <c r="F29" t="s">
        <v>103</v>
      </c>
      <c r="G29">
        <v>2</v>
      </c>
      <c r="H29" t="s">
        <v>104</v>
      </c>
      <c r="I29" t="s">
        <v>105</v>
      </c>
      <c r="J29" t="s">
        <v>262</v>
      </c>
      <c r="N29" t="s">
        <v>126</v>
      </c>
      <c r="O29" t="s">
        <v>107</v>
      </c>
      <c r="P29">
        <v>3.64</v>
      </c>
      <c r="Q29">
        <v>123.74</v>
      </c>
      <c r="R29">
        <f t="shared" si="0"/>
        <v>1.2374E-2</v>
      </c>
      <c r="S29">
        <v>3.65</v>
      </c>
      <c r="T29">
        <v>216.42</v>
      </c>
      <c r="U29">
        <v>4.59</v>
      </c>
      <c r="V29" t="s">
        <v>107</v>
      </c>
      <c r="W29">
        <v>6.84</v>
      </c>
      <c r="X29">
        <v>46.11</v>
      </c>
      <c r="Y29">
        <v>1.79</v>
      </c>
      <c r="Z29">
        <v>8.14</v>
      </c>
      <c r="AA29">
        <v>2.86</v>
      </c>
      <c r="AB29">
        <v>13.11</v>
      </c>
      <c r="AC29">
        <v>3.8</v>
      </c>
      <c r="AD29" t="s">
        <v>107</v>
      </c>
      <c r="AE29">
        <v>5.76</v>
      </c>
      <c r="AF29" t="s">
        <v>107</v>
      </c>
      <c r="AG29">
        <v>3.32</v>
      </c>
      <c r="AH29">
        <v>13.78</v>
      </c>
      <c r="AI29">
        <v>3.31</v>
      </c>
      <c r="AJ29" t="s">
        <v>107</v>
      </c>
      <c r="AK29">
        <v>8.67</v>
      </c>
      <c r="AL29">
        <v>73.77</v>
      </c>
      <c r="AM29">
        <v>9</v>
      </c>
      <c r="AN29" t="s">
        <v>107</v>
      </c>
      <c r="AO29">
        <v>35.770000000000003</v>
      </c>
      <c r="AP29">
        <v>39.090000000000003</v>
      </c>
      <c r="AQ29">
        <v>11.68</v>
      </c>
      <c r="AR29">
        <v>74.400000000000006</v>
      </c>
      <c r="AS29">
        <v>20.72</v>
      </c>
      <c r="AT29" t="s">
        <v>107</v>
      </c>
      <c r="AU29">
        <v>126.16</v>
      </c>
      <c r="AV29">
        <v>35174.22</v>
      </c>
      <c r="AW29">
        <v>328.39</v>
      </c>
      <c r="AX29">
        <v>446.63</v>
      </c>
      <c r="AY29">
        <v>53.19</v>
      </c>
      <c r="AZ29">
        <v>113.94</v>
      </c>
      <c r="BA29">
        <v>13.5</v>
      </c>
      <c r="BB29">
        <v>113.55</v>
      </c>
      <c r="BC29">
        <v>32.65</v>
      </c>
      <c r="BD29">
        <v>3746.63</v>
      </c>
      <c r="BE29">
        <v>103.18</v>
      </c>
      <c r="BF29" t="s">
        <v>107</v>
      </c>
      <c r="BG29">
        <v>56.19</v>
      </c>
      <c r="BH29">
        <v>22270.62</v>
      </c>
      <c r="BI29">
        <v>620.54</v>
      </c>
      <c r="BJ29">
        <v>17621.560000000001</v>
      </c>
      <c r="BK29">
        <v>362.5</v>
      </c>
      <c r="BL29">
        <v>1220.98</v>
      </c>
      <c r="BM29">
        <v>86.82</v>
      </c>
      <c r="BN29">
        <v>795.66</v>
      </c>
      <c r="BO29">
        <v>34.950000000000003</v>
      </c>
      <c r="BP29">
        <v>9.69</v>
      </c>
      <c r="BQ29">
        <v>5.25</v>
      </c>
      <c r="BR29" t="s">
        <v>107</v>
      </c>
      <c r="BS29">
        <v>22.66</v>
      </c>
      <c r="BT29" t="s">
        <v>107</v>
      </c>
      <c r="BU29">
        <v>11.39</v>
      </c>
      <c r="BV29" t="s">
        <v>107</v>
      </c>
      <c r="BW29">
        <v>6.95</v>
      </c>
      <c r="BX29" t="s">
        <v>107</v>
      </c>
      <c r="BY29">
        <v>8.67</v>
      </c>
      <c r="BZ29" t="s">
        <v>107</v>
      </c>
      <c r="CA29">
        <v>5.89</v>
      </c>
      <c r="CB29" t="s">
        <v>107</v>
      </c>
      <c r="CC29">
        <v>6.84</v>
      </c>
      <c r="CD29">
        <v>555944.56000000006</v>
      </c>
      <c r="CE29">
        <v>2118.4299999999998</v>
      </c>
      <c r="CF29">
        <v>9.16</v>
      </c>
      <c r="CG29">
        <v>1.57</v>
      </c>
      <c r="CH29">
        <v>6.96</v>
      </c>
      <c r="CI29">
        <v>3.91</v>
      </c>
      <c r="CJ29" t="s">
        <v>107</v>
      </c>
      <c r="CK29">
        <v>1.5</v>
      </c>
      <c r="CL29" t="s">
        <v>107</v>
      </c>
      <c r="CM29">
        <v>1.5</v>
      </c>
      <c r="CN29" t="s">
        <v>107</v>
      </c>
      <c r="CO29">
        <v>1.5</v>
      </c>
      <c r="CP29">
        <v>62364.01</v>
      </c>
      <c r="CQ29">
        <v>1802.02</v>
      </c>
      <c r="CR29">
        <v>1001.07</v>
      </c>
      <c r="CS29">
        <v>285.33</v>
      </c>
      <c r="CT29">
        <v>281150.94</v>
      </c>
      <c r="CU29">
        <v>1774.85</v>
      </c>
      <c r="CV29" s="16">
        <f t="shared" si="1"/>
        <v>28.115093999999999</v>
      </c>
      <c r="CW29">
        <v>87.4</v>
      </c>
      <c r="CX29">
        <v>39.35</v>
      </c>
      <c r="CY29">
        <v>17911.400000000001</v>
      </c>
      <c r="CZ29">
        <v>4234.3599999999997</v>
      </c>
    </row>
    <row r="30" spans="1:104" x14ac:dyDescent="0.2">
      <c r="A30">
        <v>14</v>
      </c>
      <c r="B30">
        <v>1399</v>
      </c>
      <c r="C30" s="1">
        <v>41961.493055555555</v>
      </c>
      <c r="D30" t="s">
        <v>102</v>
      </c>
      <c r="E30">
        <v>121</v>
      </c>
      <c r="F30" t="s">
        <v>103</v>
      </c>
      <c r="G30">
        <v>2</v>
      </c>
      <c r="H30" t="s">
        <v>104</v>
      </c>
      <c r="I30" t="s">
        <v>105</v>
      </c>
      <c r="J30" t="s">
        <v>263</v>
      </c>
      <c r="N30" t="s">
        <v>128</v>
      </c>
      <c r="O30">
        <v>6.93</v>
      </c>
      <c r="P30">
        <v>2.61</v>
      </c>
      <c r="Q30">
        <v>115.06</v>
      </c>
      <c r="R30">
        <f t="shared" si="0"/>
        <v>1.1506000000000001E-2</v>
      </c>
      <c r="S30">
        <v>3.75</v>
      </c>
      <c r="T30">
        <v>215.14</v>
      </c>
      <c r="U30">
        <v>4.83</v>
      </c>
      <c r="V30" t="s">
        <v>107</v>
      </c>
      <c r="W30">
        <v>7.28</v>
      </c>
      <c r="X30">
        <v>46.17</v>
      </c>
      <c r="Y30">
        <v>1.89</v>
      </c>
      <c r="Z30">
        <v>6.55</v>
      </c>
      <c r="AA30">
        <v>2.96</v>
      </c>
      <c r="AB30">
        <v>17.88</v>
      </c>
      <c r="AC30">
        <v>4.32</v>
      </c>
      <c r="AD30" t="s">
        <v>107</v>
      </c>
      <c r="AE30">
        <v>6.54</v>
      </c>
      <c r="AF30" t="s">
        <v>107</v>
      </c>
      <c r="AG30">
        <v>3.68</v>
      </c>
      <c r="AH30">
        <v>19.07</v>
      </c>
      <c r="AI30">
        <v>7.95</v>
      </c>
      <c r="AJ30" t="s">
        <v>107</v>
      </c>
      <c r="AK30">
        <v>8.6999999999999993</v>
      </c>
      <c r="AL30">
        <v>74.55</v>
      </c>
      <c r="AM30">
        <v>9.49</v>
      </c>
      <c r="AN30" t="s">
        <v>107</v>
      </c>
      <c r="AO30">
        <v>37.200000000000003</v>
      </c>
      <c r="AP30">
        <v>36.18</v>
      </c>
      <c r="AQ30">
        <v>12.19</v>
      </c>
      <c r="AR30">
        <v>61.45</v>
      </c>
      <c r="AS30">
        <v>21.62</v>
      </c>
      <c r="AT30" t="s">
        <v>107</v>
      </c>
      <c r="AU30">
        <v>133.46</v>
      </c>
      <c r="AV30">
        <v>34979.980000000003</v>
      </c>
      <c r="AW30">
        <v>344.9</v>
      </c>
      <c r="AX30">
        <v>449.53</v>
      </c>
      <c r="AY30">
        <v>56.11</v>
      </c>
      <c r="AZ30">
        <v>185.35</v>
      </c>
      <c r="BA30">
        <v>21.85</v>
      </c>
      <c r="BB30">
        <v>160.06</v>
      </c>
      <c r="BC30">
        <v>42.68</v>
      </c>
      <c r="BD30">
        <v>3615.03</v>
      </c>
      <c r="BE30">
        <v>102.54</v>
      </c>
      <c r="BF30" t="s">
        <v>107</v>
      </c>
      <c r="BG30">
        <v>55.88</v>
      </c>
      <c r="BH30">
        <v>21917.5</v>
      </c>
      <c r="BI30">
        <v>617.9</v>
      </c>
      <c r="BJ30">
        <v>17559.87</v>
      </c>
      <c r="BK30">
        <v>363.32</v>
      </c>
      <c r="BL30">
        <v>1193.7</v>
      </c>
      <c r="BM30">
        <v>81.87</v>
      </c>
      <c r="BN30">
        <v>790.7</v>
      </c>
      <c r="BO30">
        <v>36.270000000000003</v>
      </c>
      <c r="BP30" t="s">
        <v>107</v>
      </c>
      <c r="BQ30">
        <v>8.16</v>
      </c>
      <c r="BR30" t="s">
        <v>107</v>
      </c>
      <c r="BS30">
        <v>23.34</v>
      </c>
      <c r="BT30" t="s">
        <v>107</v>
      </c>
      <c r="BU30">
        <v>11.89</v>
      </c>
      <c r="BV30" t="s">
        <v>107</v>
      </c>
      <c r="BW30">
        <v>7.2</v>
      </c>
      <c r="BX30" t="s">
        <v>107</v>
      </c>
      <c r="BY30">
        <v>8.74</v>
      </c>
      <c r="BZ30" t="s">
        <v>107</v>
      </c>
      <c r="CA30">
        <v>6.16</v>
      </c>
      <c r="CB30" t="s">
        <v>107</v>
      </c>
      <c r="CC30">
        <v>6.94</v>
      </c>
      <c r="CD30">
        <v>555678.18999999994</v>
      </c>
      <c r="CE30">
        <v>2247.89</v>
      </c>
      <c r="CF30">
        <v>9.26</v>
      </c>
      <c r="CG30">
        <v>1.66</v>
      </c>
      <c r="CH30" t="s">
        <v>107</v>
      </c>
      <c r="CI30">
        <v>6.14</v>
      </c>
      <c r="CJ30" t="s">
        <v>107</v>
      </c>
      <c r="CK30">
        <v>1.5</v>
      </c>
      <c r="CL30" t="s">
        <v>107</v>
      </c>
      <c r="CM30">
        <v>1.5</v>
      </c>
      <c r="CN30" t="s">
        <v>107</v>
      </c>
      <c r="CO30">
        <v>1.5</v>
      </c>
      <c r="CP30">
        <v>62760.36</v>
      </c>
      <c r="CQ30">
        <v>1733.41</v>
      </c>
      <c r="CR30">
        <v>1224.73</v>
      </c>
      <c r="CS30">
        <v>271.55</v>
      </c>
      <c r="CT30">
        <v>279689.21999999997</v>
      </c>
      <c r="CU30">
        <v>1765.68</v>
      </c>
      <c r="CV30" s="16">
        <f t="shared" si="1"/>
        <v>27.968921999999996</v>
      </c>
      <c r="CW30">
        <v>78.75</v>
      </c>
      <c r="CX30">
        <v>37.18</v>
      </c>
      <c r="CY30">
        <v>19755.740000000002</v>
      </c>
      <c r="CZ30">
        <v>4097.8599999999997</v>
      </c>
    </row>
    <row r="31" spans="1:104" x14ac:dyDescent="0.2">
      <c r="A31">
        <v>15</v>
      </c>
      <c r="B31">
        <v>1400</v>
      </c>
      <c r="C31" s="1">
        <v>41961.495138888888</v>
      </c>
      <c r="D31" t="s">
        <v>102</v>
      </c>
      <c r="E31">
        <v>121</v>
      </c>
      <c r="F31" t="s">
        <v>103</v>
      </c>
      <c r="G31">
        <v>2</v>
      </c>
      <c r="H31" t="s">
        <v>104</v>
      </c>
      <c r="I31" t="s">
        <v>105</v>
      </c>
      <c r="J31" t="s">
        <v>264</v>
      </c>
      <c r="N31" t="s">
        <v>130</v>
      </c>
      <c r="O31">
        <v>4.08</v>
      </c>
      <c r="P31">
        <v>2.41</v>
      </c>
      <c r="Q31">
        <v>103.98</v>
      </c>
      <c r="R31">
        <f t="shared" si="0"/>
        <v>1.0398000000000001E-2</v>
      </c>
      <c r="S31">
        <v>3.41</v>
      </c>
      <c r="T31">
        <v>212.27</v>
      </c>
      <c r="U31">
        <v>4.53</v>
      </c>
      <c r="V31" t="s">
        <v>107</v>
      </c>
      <c r="W31">
        <v>6.88</v>
      </c>
      <c r="X31">
        <v>45.81</v>
      </c>
      <c r="Y31">
        <v>1.78</v>
      </c>
      <c r="Z31">
        <v>7.94</v>
      </c>
      <c r="AA31">
        <v>2.84</v>
      </c>
      <c r="AB31">
        <v>14.34</v>
      </c>
      <c r="AC31">
        <v>3.85</v>
      </c>
      <c r="AD31" t="s">
        <v>107</v>
      </c>
      <c r="AE31">
        <v>6.04</v>
      </c>
      <c r="AF31" t="s">
        <v>107</v>
      </c>
      <c r="AG31">
        <v>3.37</v>
      </c>
      <c r="AH31">
        <v>26.03</v>
      </c>
      <c r="AI31">
        <v>7.49</v>
      </c>
      <c r="AJ31" t="s">
        <v>107</v>
      </c>
      <c r="AK31">
        <v>8.42</v>
      </c>
      <c r="AL31">
        <v>89.69</v>
      </c>
      <c r="AM31">
        <v>10.08</v>
      </c>
      <c r="AN31" t="s">
        <v>107</v>
      </c>
      <c r="AO31">
        <v>35.46</v>
      </c>
      <c r="AP31">
        <v>31.55</v>
      </c>
      <c r="AQ31">
        <v>11.35</v>
      </c>
      <c r="AR31">
        <v>64.22</v>
      </c>
      <c r="AS31">
        <v>20.440000000000001</v>
      </c>
      <c r="AT31" t="s">
        <v>107</v>
      </c>
      <c r="AU31">
        <v>125.82</v>
      </c>
      <c r="AV31">
        <v>34945.919999999998</v>
      </c>
      <c r="AW31">
        <v>325.54000000000002</v>
      </c>
      <c r="AX31">
        <v>464.46</v>
      </c>
      <c r="AY31">
        <v>53.04</v>
      </c>
      <c r="AZ31">
        <v>113.85</v>
      </c>
      <c r="BA31">
        <v>13.34</v>
      </c>
      <c r="BB31">
        <v>122.19</v>
      </c>
      <c r="BC31">
        <v>31.94</v>
      </c>
      <c r="BD31">
        <v>3725.59</v>
      </c>
      <c r="BE31">
        <v>100.81</v>
      </c>
      <c r="BF31">
        <v>88.76</v>
      </c>
      <c r="BG31">
        <v>37.82</v>
      </c>
      <c r="BH31">
        <v>22414.400000000001</v>
      </c>
      <c r="BI31">
        <v>611.82000000000005</v>
      </c>
      <c r="BJ31">
        <v>17499.830000000002</v>
      </c>
      <c r="BK31">
        <v>355.29</v>
      </c>
      <c r="BL31">
        <v>1230.4000000000001</v>
      </c>
      <c r="BM31">
        <v>86.66</v>
      </c>
      <c r="BN31">
        <v>799.14</v>
      </c>
      <c r="BO31">
        <v>34.99</v>
      </c>
      <c r="BP31">
        <v>10.48</v>
      </c>
      <c r="BQ31">
        <v>5.26</v>
      </c>
      <c r="BR31" t="s">
        <v>107</v>
      </c>
      <c r="BS31">
        <v>22.47</v>
      </c>
      <c r="BT31" t="s">
        <v>107</v>
      </c>
      <c r="BU31">
        <v>11.44</v>
      </c>
      <c r="BV31" t="s">
        <v>107</v>
      </c>
      <c r="BW31">
        <v>6.92</v>
      </c>
      <c r="BX31" t="s">
        <v>107</v>
      </c>
      <c r="BY31">
        <v>8.67</v>
      </c>
      <c r="BZ31" t="s">
        <v>107</v>
      </c>
      <c r="CA31">
        <v>5.86</v>
      </c>
      <c r="CB31" t="s">
        <v>107</v>
      </c>
      <c r="CC31">
        <v>6.8</v>
      </c>
      <c r="CD31">
        <v>557458.68999999994</v>
      </c>
      <c r="CE31">
        <v>2097.65</v>
      </c>
      <c r="CF31">
        <v>7.28</v>
      </c>
      <c r="CG31">
        <v>1.53</v>
      </c>
      <c r="CH31">
        <v>6.38</v>
      </c>
      <c r="CI31">
        <v>3.87</v>
      </c>
      <c r="CJ31" t="s">
        <v>107</v>
      </c>
      <c r="CK31">
        <v>1.5</v>
      </c>
      <c r="CL31" t="s">
        <v>107</v>
      </c>
      <c r="CM31">
        <v>1.5</v>
      </c>
      <c r="CN31" t="s">
        <v>107</v>
      </c>
      <c r="CO31">
        <v>1.5</v>
      </c>
      <c r="CP31">
        <v>62704.61</v>
      </c>
      <c r="CQ31">
        <v>1793.28</v>
      </c>
      <c r="CR31">
        <v>909.36</v>
      </c>
      <c r="CS31">
        <v>284.31</v>
      </c>
      <c r="CT31">
        <v>281645.71999999997</v>
      </c>
      <c r="CU31">
        <v>1768.57</v>
      </c>
      <c r="CV31" s="16">
        <f t="shared" si="1"/>
        <v>28.164571999999996</v>
      </c>
      <c r="CW31" t="s">
        <v>107</v>
      </c>
      <c r="CX31">
        <v>76</v>
      </c>
      <c r="CY31">
        <v>15916.12</v>
      </c>
      <c r="CZ31">
        <v>4119.1899999999996</v>
      </c>
    </row>
    <row r="32" spans="1:104" x14ac:dyDescent="0.2">
      <c r="A32">
        <v>28</v>
      </c>
      <c r="B32">
        <v>1413</v>
      </c>
      <c r="C32" s="1">
        <v>41961.525694444441</v>
      </c>
      <c r="D32" t="s">
        <v>102</v>
      </c>
      <c r="E32">
        <v>121</v>
      </c>
      <c r="F32" t="s">
        <v>103</v>
      </c>
      <c r="G32">
        <v>2</v>
      </c>
      <c r="H32" t="s">
        <v>104</v>
      </c>
      <c r="I32" t="s">
        <v>105</v>
      </c>
      <c r="J32" t="s">
        <v>265</v>
      </c>
      <c r="N32" t="s">
        <v>126</v>
      </c>
      <c r="O32" t="s">
        <v>107</v>
      </c>
      <c r="P32">
        <v>2.91</v>
      </c>
      <c r="Q32" t="s">
        <v>107</v>
      </c>
      <c r="R32" t="e">
        <f t="shared" si="0"/>
        <v>#VALUE!</v>
      </c>
      <c r="S32">
        <v>2.63</v>
      </c>
      <c r="T32" t="s">
        <v>107</v>
      </c>
      <c r="U32">
        <v>1.3</v>
      </c>
      <c r="V32" t="s">
        <v>107</v>
      </c>
      <c r="W32">
        <v>3.2</v>
      </c>
      <c r="X32" t="s">
        <v>107</v>
      </c>
      <c r="Y32">
        <v>1.39</v>
      </c>
      <c r="Z32" t="s">
        <v>107</v>
      </c>
      <c r="AA32">
        <v>2.41</v>
      </c>
      <c r="AB32" t="s">
        <v>107</v>
      </c>
      <c r="AC32">
        <v>3.27</v>
      </c>
      <c r="AD32" t="s">
        <v>107</v>
      </c>
      <c r="AE32">
        <v>4.75</v>
      </c>
      <c r="AF32" t="s">
        <v>107</v>
      </c>
      <c r="AG32">
        <v>2.64</v>
      </c>
      <c r="AH32" t="s">
        <v>107</v>
      </c>
      <c r="AI32">
        <v>2.6</v>
      </c>
      <c r="AJ32" t="s">
        <v>107</v>
      </c>
      <c r="AK32">
        <v>6.76</v>
      </c>
      <c r="AL32" t="s">
        <v>107</v>
      </c>
      <c r="AM32">
        <v>6.35</v>
      </c>
      <c r="AN32" t="s">
        <v>107</v>
      </c>
      <c r="AO32">
        <v>28.05</v>
      </c>
      <c r="AP32" t="s">
        <v>107</v>
      </c>
      <c r="AQ32">
        <v>12.51</v>
      </c>
      <c r="AR32" t="s">
        <v>107</v>
      </c>
      <c r="AS32">
        <v>23.73</v>
      </c>
      <c r="AT32" t="s">
        <v>107</v>
      </c>
      <c r="AU32">
        <v>21.74</v>
      </c>
      <c r="AV32" t="s">
        <v>107</v>
      </c>
      <c r="AW32">
        <v>32.409999999999997</v>
      </c>
      <c r="AX32" t="s">
        <v>107</v>
      </c>
      <c r="AY32">
        <v>45.69</v>
      </c>
      <c r="AZ32" t="s">
        <v>107</v>
      </c>
      <c r="BA32">
        <v>7.79</v>
      </c>
      <c r="BB32" t="s">
        <v>107</v>
      </c>
      <c r="BC32">
        <v>9.6999999999999993</v>
      </c>
      <c r="BD32" t="s">
        <v>107</v>
      </c>
      <c r="BE32">
        <v>21.78</v>
      </c>
      <c r="BF32" t="s">
        <v>107</v>
      </c>
      <c r="BG32">
        <v>4.07</v>
      </c>
      <c r="BH32">
        <v>90.92</v>
      </c>
      <c r="BI32">
        <v>13.62</v>
      </c>
      <c r="BJ32" t="s">
        <v>107</v>
      </c>
      <c r="BK32">
        <v>48.81</v>
      </c>
      <c r="BL32" t="s">
        <v>107</v>
      </c>
      <c r="BM32">
        <v>81.42</v>
      </c>
      <c r="BN32" t="s">
        <v>107</v>
      </c>
      <c r="BO32">
        <v>38.21</v>
      </c>
      <c r="BP32" t="s">
        <v>107</v>
      </c>
      <c r="BQ32">
        <v>6.59</v>
      </c>
      <c r="BR32" t="s">
        <v>107</v>
      </c>
      <c r="BS32">
        <v>18.98</v>
      </c>
      <c r="BT32" t="s">
        <v>107</v>
      </c>
      <c r="BU32">
        <v>9.66</v>
      </c>
      <c r="BV32" t="s">
        <v>107</v>
      </c>
      <c r="BW32">
        <v>5.9</v>
      </c>
      <c r="BX32" t="s">
        <v>107</v>
      </c>
      <c r="BY32">
        <v>6.49</v>
      </c>
      <c r="BZ32" t="s">
        <v>107</v>
      </c>
      <c r="CA32">
        <v>5.16</v>
      </c>
      <c r="CB32" t="s">
        <v>107</v>
      </c>
      <c r="CC32">
        <v>5.97</v>
      </c>
      <c r="CD32">
        <v>559380.43999999994</v>
      </c>
      <c r="CE32">
        <v>1744.39</v>
      </c>
      <c r="CF32" t="s">
        <v>107</v>
      </c>
      <c r="CG32">
        <v>1.5</v>
      </c>
      <c r="CH32" t="s">
        <v>107</v>
      </c>
      <c r="CI32">
        <v>2.42</v>
      </c>
      <c r="CJ32" t="s">
        <v>107</v>
      </c>
      <c r="CK32">
        <v>1.5</v>
      </c>
      <c r="CL32" t="s">
        <v>107</v>
      </c>
      <c r="CM32">
        <v>1.5</v>
      </c>
      <c r="CN32" t="s">
        <v>107</v>
      </c>
      <c r="CO32">
        <v>1.5</v>
      </c>
      <c r="CP32" t="s">
        <v>107</v>
      </c>
      <c r="CQ32">
        <v>796.29</v>
      </c>
      <c r="CR32" t="s">
        <v>107</v>
      </c>
      <c r="CS32">
        <v>446.41</v>
      </c>
      <c r="CT32">
        <v>439728.34</v>
      </c>
      <c r="CU32">
        <v>2038.6</v>
      </c>
      <c r="CV32" s="16">
        <f t="shared" si="1"/>
        <v>43.972834000000006</v>
      </c>
      <c r="CW32" t="s">
        <v>107</v>
      </c>
      <c r="CX32">
        <v>62.17</v>
      </c>
      <c r="CY32" t="s">
        <v>107</v>
      </c>
      <c r="CZ32">
        <v>4456.7</v>
      </c>
    </row>
    <row r="33" spans="1:104" x14ac:dyDescent="0.2">
      <c r="A33">
        <v>29</v>
      </c>
      <c r="B33">
        <v>1414</v>
      </c>
      <c r="C33" s="1">
        <v>41961.527777777781</v>
      </c>
      <c r="D33" t="s">
        <v>102</v>
      </c>
      <c r="E33">
        <v>121</v>
      </c>
      <c r="F33" t="s">
        <v>103</v>
      </c>
      <c r="G33">
        <v>2</v>
      </c>
      <c r="H33" t="s">
        <v>104</v>
      </c>
      <c r="I33" t="s">
        <v>105</v>
      </c>
      <c r="J33" t="s">
        <v>266</v>
      </c>
      <c r="N33" t="s">
        <v>128</v>
      </c>
      <c r="O33" t="s">
        <v>107</v>
      </c>
      <c r="P33">
        <v>2.84</v>
      </c>
      <c r="Q33" t="s">
        <v>107</v>
      </c>
      <c r="R33" t="e">
        <f t="shared" si="0"/>
        <v>#VALUE!</v>
      </c>
      <c r="S33">
        <v>2.66</v>
      </c>
      <c r="T33" t="s">
        <v>107</v>
      </c>
      <c r="U33">
        <v>1.29</v>
      </c>
      <c r="V33" t="s">
        <v>107</v>
      </c>
      <c r="W33">
        <v>3.25</v>
      </c>
      <c r="X33" t="s">
        <v>107</v>
      </c>
      <c r="Y33">
        <v>1.39</v>
      </c>
      <c r="Z33" t="s">
        <v>107</v>
      </c>
      <c r="AA33">
        <v>2.3199999999999998</v>
      </c>
      <c r="AB33" t="s">
        <v>107</v>
      </c>
      <c r="AC33">
        <v>3.49</v>
      </c>
      <c r="AD33" t="s">
        <v>107</v>
      </c>
      <c r="AE33">
        <v>4.5599999999999996</v>
      </c>
      <c r="AF33" t="s">
        <v>107</v>
      </c>
      <c r="AG33">
        <v>2.46</v>
      </c>
      <c r="AH33" t="s">
        <v>107</v>
      </c>
      <c r="AI33">
        <v>2.64</v>
      </c>
      <c r="AJ33" t="s">
        <v>107</v>
      </c>
      <c r="AK33">
        <v>6.78</v>
      </c>
      <c r="AL33" t="s">
        <v>107</v>
      </c>
      <c r="AM33">
        <v>6.78</v>
      </c>
      <c r="AN33" t="s">
        <v>107</v>
      </c>
      <c r="AO33">
        <v>27.5</v>
      </c>
      <c r="AP33" t="s">
        <v>107</v>
      </c>
      <c r="AQ33">
        <v>12.05</v>
      </c>
      <c r="AR33" t="s">
        <v>107</v>
      </c>
      <c r="AS33">
        <v>23.92</v>
      </c>
      <c r="AT33" t="s">
        <v>107</v>
      </c>
      <c r="AU33">
        <v>22.02</v>
      </c>
      <c r="AV33" t="s">
        <v>107</v>
      </c>
      <c r="AW33">
        <v>31.55</v>
      </c>
      <c r="AX33" t="s">
        <v>107</v>
      </c>
      <c r="AY33">
        <v>45.02</v>
      </c>
      <c r="AZ33">
        <v>12.98</v>
      </c>
      <c r="BA33">
        <v>5.18</v>
      </c>
      <c r="BB33" t="s">
        <v>107</v>
      </c>
      <c r="BC33">
        <v>9.66</v>
      </c>
      <c r="BD33" t="s">
        <v>107</v>
      </c>
      <c r="BE33">
        <v>21.43</v>
      </c>
      <c r="BF33" t="s">
        <v>107</v>
      </c>
      <c r="BG33">
        <v>4.05</v>
      </c>
      <c r="BH33">
        <v>116.3</v>
      </c>
      <c r="BI33">
        <v>13.97</v>
      </c>
      <c r="BJ33" t="s">
        <v>107</v>
      </c>
      <c r="BK33">
        <v>47.32</v>
      </c>
      <c r="BL33" t="s">
        <v>107</v>
      </c>
      <c r="BM33">
        <v>84.29</v>
      </c>
      <c r="BN33" t="s">
        <v>107</v>
      </c>
      <c r="BO33">
        <v>38.58</v>
      </c>
      <c r="BP33" t="s">
        <v>107</v>
      </c>
      <c r="BQ33">
        <v>6.65</v>
      </c>
      <c r="BR33" t="s">
        <v>107</v>
      </c>
      <c r="BS33">
        <v>19.399999999999999</v>
      </c>
      <c r="BT33" t="s">
        <v>107</v>
      </c>
      <c r="BU33">
        <v>9.86</v>
      </c>
      <c r="BV33" t="s">
        <v>107</v>
      </c>
      <c r="BW33">
        <v>6.01</v>
      </c>
      <c r="BX33" t="s">
        <v>107</v>
      </c>
      <c r="BY33">
        <v>7.49</v>
      </c>
      <c r="BZ33" t="s">
        <v>107</v>
      </c>
      <c r="CA33">
        <v>5.0999999999999996</v>
      </c>
      <c r="CB33" t="s">
        <v>107</v>
      </c>
      <c r="CC33">
        <v>5.86</v>
      </c>
      <c r="CD33">
        <v>555017.75</v>
      </c>
      <c r="CE33">
        <v>1720.35</v>
      </c>
      <c r="CF33" t="s">
        <v>107</v>
      </c>
      <c r="CG33">
        <v>1.5</v>
      </c>
      <c r="CH33" t="s">
        <v>107</v>
      </c>
      <c r="CI33">
        <v>2.19</v>
      </c>
      <c r="CJ33" t="s">
        <v>107</v>
      </c>
      <c r="CK33">
        <v>1.5</v>
      </c>
      <c r="CL33" t="s">
        <v>107</v>
      </c>
      <c r="CM33">
        <v>1.5</v>
      </c>
      <c r="CN33" t="s">
        <v>107</v>
      </c>
      <c r="CO33">
        <v>1.5</v>
      </c>
      <c r="CP33" t="s">
        <v>107</v>
      </c>
      <c r="CQ33">
        <v>853.79</v>
      </c>
      <c r="CR33" t="s">
        <v>107</v>
      </c>
      <c r="CS33">
        <v>512.88</v>
      </c>
      <c r="CT33">
        <v>444206.5</v>
      </c>
      <c r="CU33">
        <v>2058.35</v>
      </c>
      <c r="CV33" s="16">
        <f t="shared" si="1"/>
        <v>44.420650000000002</v>
      </c>
      <c r="CW33">
        <v>79.77</v>
      </c>
      <c r="CX33">
        <v>28.59</v>
      </c>
      <c r="CY33" t="s">
        <v>107</v>
      </c>
      <c r="CZ33">
        <v>3213.33</v>
      </c>
    </row>
    <row r="34" spans="1:104" x14ac:dyDescent="0.2">
      <c r="A34">
        <v>30</v>
      </c>
      <c r="B34">
        <v>1415</v>
      </c>
      <c r="C34" s="1">
        <v>41961.53125</v>
      </c>
      <c r="D34" t="s">
        <v>102</v>
      </c>
      <c r="E34">
        <v>121</v>
      </c>
      <c r="F34" t="s">
        <v>103</v>
      </c>
      <c r="G34">
        <v>2</v>
      </c>
      <c r="H34" t="s">
        <v>104</v>
      </c>
      <c r="I34" t="s">
        <v>105</v>
      </c>
      <c r="J34" t="s">
        <v>267</v>
      </c>
      <c r="N34" t="s">
        <v>130</v>
      </c>
      <c r="O34" t="s">
        <v>107</v>
      </c>
      <c r="P34">
        <v>2.85</v>
      </c>
      <c r="Q34" t="s">
        <v>107</v>
      </c>
      <c r="R34" t="e">
        <f t="shared" si="0"/>
        <v>#VALUE!</v>
      </c>
      <c r="S34">
        <v>2.63</v>
      </c>
      <c r="T34" t="s">
        <v>107</v>
      </c>
      <c r="U34">
        <v>1.33</v>
      </c>
      <c r="V34" t="s">
        <v>107</v>
      </c>
      <c r="W34">
        <v>3.49</v>
      </c>
      <c r="X34" t="s">
        <v>107</v>
      </c>
      <c r="Y34">
        <v>1.46</v>
      </c>
      <c r="Z34" t="s">
        <v>107</v>
      </c>
      <c r="AA34">
        <v>2.35</v>
      </c>
      <c r="AB34" t="s">
        <v>107</v>
      </c>
      <c r="AC34">
        <v>3.61</v>
      </c>
      <c r="AD34" t="s">
        <v>107</v>
      </c>
      <c r="AE34">
        <v>4.74</v>
      </c>
      <c r="AF34" t="s">
        <v>107</v>
      </c>
      <c r="AG34">
        <v>2.5</v>
      </c>
      <c r="AH34" t="s">
        <v>107</v>
      </c>
      <c r="AI34">
        <v>2.63</v>
      </c>
      <c r="AJ34" t="s">
        <v>107</v>
      </c>
      <c r="AK34">
        <v>6.59</v>
      </c>
      <c r="AL34" t="s">
        <v>107</v>
      </c>
      <c r="AM34">
        <v>6.58</v>
      </c>
      <c r="AN34" t="s">
        <v>107</v>
      </c>
      <c r="AO34">
        <v>27.92</v>
      </c>
      <c r="AP34" t="s">
        <v>107</v>
      </c>
      <c r="AQ34">
        <v>12.13</v>
      </c>
      <c r="AR34" t="s">
        <v>107</v>
      </c>
      <c r="AS34">
        <v>23.13</v>
      </c>
      <c r="AT34" t="s">
        <v>107</v>
      </c>
      <c r="AU34">
        <v>21.78</v>
      </c>
      <c r="AV34" t="s">
        <v>107</v>
      </c>
      <c r="AW34">
        <v>32.270000000000003</v>
      </c>
      <c r="AX34" t="s">
        <v>107</v>
      </c>
      <c r="AY34">
        <v>44.93</v>
      </c>
      <c r="AZ34">
        <v>10.09</v>
      </c>
      <c r="BA34">
        <v>5.27</v>
      </c>
      <c r="BB34" t="s">
        <v>107</v>
      </c>
      <c r="BC34">
        <v>10.11</v>
      </c>
      <c r="BD34" t="s">
        <v>107</v>
      </c>
      <c r="BE34">
        <v>22.28</v>
      </c>
      <c r="BF34" t="s">
        <v>107</v>
      </c>
      <c r="BG34">
        <v>4.2</v>
      </c>
      <c r="BH34">
        <v>119.39</v>
      </c>
      <c r="BI34">
        <v>14.37</v>
      </c>
      <c r="BJ34" t="s">
        <v>107</v>
      </c>
      <c r="BK34">
        <v>47.82</v>
      </c>
      <c r="BL34" t="s">
        <v>107</v>
      </c>
      <c r="BM34">
        <v>75.8</v>
      </c>
      <c r="BN34" t="s">
        <v>107</v>
      </c>
      <c r="BO34">
        <v>38.270000000000003</v>
      </c>
      <c r="BP34" t="s">
        <v>107</v>
      </c>
      <c r="BQ34">
        <v>6.61</v>
      </c>
      <c r="BR34" t="s">
        <v>107</v>
      </c>
      <c r="BS34">
        <v>19.07</v>
      </c>
      <c r="BT34" t="s">
        <v>107</v>
      </c>
      <c r="BU34">
        <v>9.7100000000000009</v>
      </c>
      <c r="BV34" t="s">
        <v>107</v>
      </c>
      <c r="BW34">
        <v>5.93</v>
      </c>
      <c r="BX34" t="s">
        <v>107</v>
      </c>
      <c r="BY34">
        <v>7.41</v>
      </c>
      <c r="BZ34" t="s">
        <v>107</v>
      </c>
      <c r="CA34">
        <v>5.1100000000000003</v>
      </c>
      <c r="CB34" t="s">
        <v>107</v>
      </c>
      <c r="CC34">
        <v>5.81</v>
      </c>
      <c r="CD34">
        <v>558008.93999999994</v>
      </c>
      <c r="CE34">
        <v>1728.18</v>
      </c>
      <c r="CF34" t="s">
        <v>107</v>
      </c>
      <c r="CG34">
        <v>1.5</v>
      </c>
      <c r="CH34" t="s">
        <v>107</v>
      </c>
      <c r="CI34">
        <v>2.25</v>
      </c>
      <c r="CJ34" t="s">
        <v>107</v>
      </c>
      <c r="CK34">
        <v>1.5</v>
      </c>
      <c r="CL34" t="s">
        <v>107</v>
      </c>
      <c r="CM34">
        <v>1.5</v>
      </c>
      <c r="CN34" t="s">
        <v>107</v>
      </c>
      <c r="CO34">
        <v>1.5</v>
      </c>
      <c r="CP34">
        <v>832.05</v>
      </c>
      <c r="CQ34">
        <v>550.89</v>
      </c>
      <c r="CR34" t="s">
        <v>107</v>
      </c>
      <c r="CS34">
        <v>460.35</v>
      </c>
      <c r="CT34">
        <v>440989.91</v>
      </c>
      <c r="CU34">
        <v>2042.3</v>
      </c>
      <c r="CV34" s="16">
        <f t="shared" si="1"/>
        <v>44.098990999999998</v>
      </c>
      <c r="CW34">
        <v>58.21</v>
      </c>
      <c r="CX34">
        <v>27.59</v>
      </c>
      <c r="CY34" t="s">
        <v>107</v>
      </c>
      <c r="CZ34">
        <v>3062.3</v>
      </c>
    </row>
    <row r="40" spans="1:104" x14ac:dyDescent="0.2">
      <c r="AV40">
        <f>4.31</f>
        <v>4.3099999999999996</v>
      </c>
      <c r="AW40">
        <f>AV40*0.6994</f>
        <v>3.0144139999999999</v>
      </c>
    </row>
    <row r="41" spans="1:104" x14ac:dyDescent="0.2">
      <c r="AW41">
        <f>3.2251</f>
        <v>3.2250999999999999</v>
      </c>
    </row>
    <row r="42" spans="1:104" x14ac:dyDescent="0.2">
      <c r="AW42" s="15">
        <f>1-AW41/AW40</f>
        <v>-6.9892854796985482E-2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3:J30"/>
  <sheetViews>
    <sheetView tabSelected="1" topLeftCell="A5" workbookViewId="0">
      <selection activeCell="B26" sqref="B26:B30"/>
    </sheetView>
  </sheetViews>
  <sheetFormatPr baseColWidth="10" defaultColWidth="8.83203125" defaultRowHeight="15" x14ac:dyDescent="0.2"/>
  <cols>
    <col min="2" max="2" width="17.6640625" bestFit="1" customWidth="1"/>
    <col min="5" max="5" width="12.83203125" bestFit="1" customWidth="1"/>
    <col min="6" max="8" width="11" customWidth="1"/>
    <col min="9" max="9" width="17.5" bestFit="1" customWidth="1"/>
  </cols>
  <sheetData>
    <row r="3" spans="1:10" x14ac:dyDescent="0.2">
      <c r="A3" t="s">
        <v>253</v>
      </c>
      <c r="B3" t="s">
        <v>315</v>
      </c>
      <c r="C3" t="s">
        <v>314</v>
      </c>
      <c r="D3" t="s">
        <v>140</v>
      </c>
      <c r="E3" t="s">
        <v>252</v>
      </c>
      <c r="F3" t="s">
        <v>258</v>
      </c>
      <c r="G3" t="s">
        <v>103</v>
      </c>
      <c r="H3" t="s">
        <v>272</v>
      </c>
      <c r="I3" t="s">
        <v>257</v>
      </c>
    </row>
    <row r="4" spans="1:10" x14ac:dyDescent="0.2">
      <c r="A4" t="s">
        <v>260</v>
      </c>
      <c r="B4" t="s">
        <v>100</v>
      </c>
      <c r="C4">
        <v>2.16</v>
      </c>
      <c r="D4">
        <v>0.03</v>
      </c>
      <c r="E4">
        <f>C4</f>
        <v>2.16</v>
      </c>
      <c r="F4" t="s">
        <v>106</v>
      </c>
      <c r="G4">
        <v>10773.86</v>
      </c>
      <c r="H4">
        <v>5644.39</v>
      </c>
      <c r="I4" s="20">
        <f>G4/10^4</f>
        <v>1.077386</v>
      </c>
      <c r="J4" s="15">
        <f>1-E4/I4</f>
        <v>-1.0048524855529961</v>
      </c>
    </row>
    <row r="5" spans="1:10" x14ac:dyDescent="0.2">
      <c r="A5" t="s">
        <v>260</v>
      </c>
      <c r="B5" t="s">
        <v>100</v>
      </c>
      <c r="C5">
        <v>2.16</v>
      </c>
      <c r="D5">
        <v>0.03</v>
      </c>
      <c r="E5">
        <f>C5</f>
        <v>2.16</v>
      </c>
      <c r="F5" t="s">
        <v>108</v>
      </c>
      <c r="G5">
        <v>13904.87</v>
      </c>
      <c r="H5">
        <v>5386.26</v>
      </c>
      <c r="I5" s="20">
        <f t="shared" ref="I5:I24" si="0">G5/10^4</f>
        <v>1.390487</v>
      </c>
      <c r="J5" s="15">
        <f t="shared" ref="J5:J24" si="1">1-E5/I5</f>
        <v>-0.55341258134739846</v>
      </c>
    </row>
    <row r="6" spans="1:10" x14ac:dyDescent="0.2">
      <c r="A6" t="s">
        <v>260</v>
      </c>
      <c r="B6" t="s">
        <v>100</v>
      </c>
      <c r="C6">
        <v>2.16</v>
      </c>
      <c r="D6">
        <v>0.03</v>
      </c>
      <c r="E6">
        <f>C6</f>
        <v>2.16</v>
      </c>
      <c r="F6" t="s">
        <v>109</v>
      </c>
      <c r="G6">
        <v>13702.51</v>
      </c>
      <c r="H6">
        <v>5634.61</v>
      </c>
      <c r="I6" s="20">
        <f t="shared" si="0"/>
        <v>1.3702510000000001</v>
      </c>
      <c r="J6" s="15">
        <f t="shared" si="1"/>
        <v>-0.57635352938987094</v>
      </c>
    </row>
    <row r="7" spans="1:10" x14ac:dyDescent="0.2">
      <c r="A7" t="s">
        <v>259</v>
      </c>
      <c r="B7" t="s">
        <v>147</v>
      </c>
      <c r="C7">
        <v>0.96</v>
      </c>
      <c r="D7">
        <v>0.03</v>
      </c>
      <c r="E7">
        <f t="shared" ref="E7:E24" si="2">C7*0.603</f>
        <v>0.57887999999999995</v>
      </c>
      <c r="F7" t="s">
        <v>110</v>
      </c>
      <c r="G7">
        <v>12530.46</v>
      </c>
      <c r="H7">
        <v>4240.83</v>
      </c>
      <c r="I7" s="20">
        <f t="shared" si="0"/>
        <v>1.2530459999999999</v>
      </c>
      <c r="J7" s="15">
        <f t="shared" si="1"/>
        <v>0.53802174860300411</v>
      </c>
    </row>
    <row r="8" spans="1:10" x14ac:dyDescent="0.2">
      <c r="A8" t="s">
        <v>259</v>
      </c>
      <c r="B8" t="s">
        <v>147</v>
      </c>
      <c r="C8">
        <v>0.96</v>
      </c>
      <c r="D8">
        <v>0.03</v>
      </c>
      <c r="E8">
        <f t="shared" si="2"/>
        <v>0.57887999999999995</v>
      </c>
      <c r="F8" t="s">
        <v>111</v>
      </c>
      <c r="G8" t="s">
        <v>107</v>
      </c>
      <c r="H8">
        <v>5907.56</v>
      </c>
      <c r="I8" s="20" t="e">
        <f t="shared" si="0"/>
        <v>#VALUE!</v>
      </c>
      <c r="J8" s="15" t="e">
        <f t="shared" si="1"/>
        <v>#VALUE!</v>
      </c>
    </row>
    <row r="9" spans="1:10" x14ac:dyDescent="0.2">
      <c r="A9" t="s">
        <v>259</v>
      </c>
      <c r="B9" t="s">
        <v>147</v>
      </c>
      <c r="C9">
        <v>0.96</v>
      </c>
      <c r="D9">
        <v>0.03</v>
      </c>
      <c r="E9">
        <f t="shared" si="2"/>
        <v>0.57887999999999995</v>
      </c>
      <c r="F9" t="s">
        <v>112</v>
      </c>
      <c r="G9">
        <v>8529.77</v>
      </c>
      <c r="H9">
        <v>4261.55</v>
      </c>
      <c r="I9" s="20">
        <f t="shared" si="0"/>
        <v>0.8529770000000001</v>
      </c>
      <c r="J9" s="15">
        <f t="shared" si="1"/>
        <v>0.32134160710077775</v>
      </c>
    </row>
    <row r="10" spans="1:10" x14ac:dyDescent="0.2">
      <c r="A10" t="s">
        <v>113</v>
      </c>
      <c r="B10" t="s">
        <v>147</v>
      </c>
      <c r="C10">
        <v>1.79</v>
      </c>
      <c r="D10">
        <v>0.03</v>
      </c>
      <c r="E10">
        <f t="shared" si="2"/>
        <v>1.0793699999999999</v>
      </c>
      <c r="F10" t="s">
        <v>113</v>
      </c>
      <c r="G10">
        <v>11850.15</v>
      </c>
      <c r="H10">
        <v>4727.1400000000003</v>
      </c>
      <c r="I10" s="20">
        <f t="shared" si="0"/>
        <v>1.1850149999999999</v>
      </c>
      <c r="J10" s="15">
        <f t="shared" si="1"/>
        <v>8.9150770243414668E-2</v>
      </c>
    </row>
    <row r="11" spans="1:10" x14ac:dyDescent="0.2">
      <c r="A11" t="s">
        <v>113</v>
      </c>
      <c r="B11" t="s">
        <v>147</v>
      </c>
      <c r="C11">
        <v>1.79</v>
      </c>
      <c r="D11">
        <v>0.03</v>
      </c>
      <c r="E11">
        <f t="shared" si="2"/>
        <v>1.0793699999999999</v>
      </c>
      <c r="F11" t="s">
        <v>114</v>
      </c>
      <c r="G11" t="s">
        <v>107</v>
      </c>
      <c r="H11">
        <v>6236.79</v>
      </c>
      <c r="I11" s="20" t="e">
        <f t="shared" si="0"/>
        <v>#VALUE!</v>
      </c>
      <c r="J11" s="15" t="e">
        <f t="shared" si="1"/>
        <v>#VALUE!</v>
      </c>
    </row>
    <row r="12" spans="1:10" x14ac:dyDescent="0.2">
      <c r="A12" t="s">
        <v>113</v>
      </c>
      <c r="B12" t="s">
        <v>147</v>
      </c>
      <c r="C12">
        <v>1.79</v>
      </c>
      <c r="D12">
        <v>0.03</v>
      </c>
      <c r="E12">
        <f t="shared" si="2"/>
        <v>1.0793699999999999</v>
      </c>
      <c r="F12" t="s">
        <v>115</v>
      </c>
      <c r="G12">
        <v>8795.2900000000009</v>
      </c>
      <c r="H12">
        <v>4286.4399999999996</v>
      </c>
      <c r="I12" s="20">
        <f t="shared" si="0"/>
        <v>0.87952900000000012</v>
      </c>
      <c r="J12" s="15">
        <f t="shared" si="1"/>
        <v>-0.22721365640018676</v>
      </c>
    </row>
    <row r="13" spans="1:10" x14ac:dyDescent="0.2">
      <c r="A13" t="s">
        <v>256</v>
      </c>
      <c r="B13" t="s">
        <v>147</v>
      </c>
      <c r="C13">
        <v>3.3</v>
      </c>
      <c r="D13">
        <v>1.4E-2</v>
      </c>
      <c r="E13">
        <f t="shared" si="2"/>
        <v>1.9898999999999998</v>
      </c>
      <c r="F13" t="s">
        <v>116</v>
      </c>
      <c r="G13">
        <v>17730.77</v>
      </c>
      <c r="H13">
        <v>10816.07</v>
      </c>
      <c r="I13" s="20">
        <f t="shared" si="0"/>
        <v>1.773077</v>
      </c>
      <c r="J13" s="15">
        <f t="shared" si="1"/>
        <v>-0.12228628536718933</v>
      </c>
    </row>
    <row r="14" spans="1:10" x14ac:dyDescent="0.2">
      <c r="A14" t="s">
        <v>256</v>
      </c>
      <c r="B14" t="s">
        <v>147</v>
      </c>
      <c r="C14">
        <v>3.3</v>
      </c>
      <c r="D14">
        <v>1.4E-2</v>
      </c>
      <c r="E14">
        <f t="shared" si="2"/>
        <v>1.9898999999999998</v>
      </c>
      <c r="F14" t="s">
        <v>117</v>
      </c>
      <c r="G14">
        <v>27684.34</v>
      </c>
      <c r="H14">
        <v>11115.88</v>
      </c>
      <c r="I14" s="20">
        <f t="shared" si="0"/>
        <v>2.7684340000000001</v>
      </c>
      <c r="J14" s="15">
        <f t="shared" si="1"/>
        <v>0.28121819050047803</v>
      </c>
    </row>
    <row r="15" spans="1:10" x14ac:dyDescent="0.2">
      <c r="A15" t="s">
        <v>256</v>
      </c>
      <c r="B15" t="s">
        <v>147</v>
      </c>
      <c r="C15">
        <v>3.3</v>
      </c>
      <c r="D15">
        <v>1.4E-2</v>
      </c>
      <c r="E15">
        <f t="shared" si="2"/>
        <v>1.9898999999999998</v>
      </c>
      <c r="F15" t="s">
        <v>118</v>
      </c>
      <c r="G15">
        <v>18465.95</v>
      </c>
      <c r="H15">
        <v>9320.5499999999993</v>
      </c>
      <c r="I15" s="20">
        <f t="shared" si="0"/>
        <v>1.846595</v>
      </c>
      <c r="J15" s="15">
        <f t="shared" si="1"/>
        <v>-7.7604997305851908E-2</v>
      </c>
    </row>
    <row r="16" spans="1:10" x14ac:dyDescent="0.2">
      <c r="A16" t="s">
        <v>255</v>
      </c>
      <c r="B16" t="s">
        <v>147</v>
      </c>
      <c r="C16">
        <v>2.6</v>
      </c>
      <c r="D16">
        <v>0.01</v>
      </c>
      <c r="E16">
        <f t="shared" si="2"/>
        <v>1.5678000000000001</v>
      </c>
      <c r="F16" t="s">
        <v>119</v>
      </c>
      <c r="G16">
        <v>30890.14</v>
      </c>
      <c r="H16">
        <v>5703.18</v>
      </c>
      <c r="I16" s="20">
        <f t="shared" si="0"/>
        <v>3.0890140000000001</v>
      </c>
      <c r="J16" s="15">
        <f t="shared" si="1"/>
        <v>0.49245940614060024</v>
      </c>
    </row>
    <row r="17" spans="1:10" x14ac:dyDescent="0.2">
      <c r="A17" t="s">
        <v>255</v>
      </c>
      <c r="B17" t="s">
        <v>147</v>
      </c>
      <c r="C17">
        <v>2.6</v>
      </c>
      <c r="D17">
        <v>0.01</v>
      </c>
      <c r="E17">
        <f t="shared" si="2"/>
        <v>1.5678000000000001</v>
      </c>
      <c r="F17" t="s">
        <v>120</v>
      </c>
      <c r="G17">
        <v>13657.95</v>
      </c>
      <c r="H17">
        <v>4923.1899999999996</v>
      </c>
      <c r="I17" s="20">
        <f t="shared" si="0"/>
        <v>1.3657950000000001</v>
      </c>
      <c r="J17" s="15">
        <f t="shared" si="1"/>
        <v>-0.14790286975717448</v>
      </c>
    </row>
    <row r="18" spans="1:10" x14ac:dyDescent="0.2">
      <c r="A18" t="s">
        <v>255</v>
      </c>
      <c r="B18" t="s">
        <v>147</v>
      </c>
      <c r="C18">
        <v>2.6</v>
      </c>
      <c r="D18">
        <v>0.01</v>
      </c>
      <c r="E18">
        <f t="shared" si="2"/>
        <v>1.5678000000000001</v>
      </c>
      <c r="F18" t="s">
        <v>121</v>
      </c>
      <c r="G18">
        <v>22558.95</v>
      </c>
      <c r="H18">
        <v>5273.05</v>
      </c>
      <c r="I18" s="20">
        <f t="shared" si="0"/>
        <v>2.2558950000000002</v>
      </c>
      <c r="J18" s="15">
        <f t="shared" si="1"/>
        <v>0.30502084538509111</v>
      </c>
    </row>
    <row r="19" spans="1:10" x14ac:dyDescent="0.2">
      <c r="A19" t="s">
        <v>254</v>
      </c>
      <c r="B19" t="s">
        <v>147</v>
      </c>
      <c r="C19">
        <v>1.69</v>
      </c>
      <c r="D19">
        <v>0.1</v>
      </c>
      <c r="E19">
        <f t="shared" si="2"/>
        <v>1.0190699999999999</v>
      </c>
      <c r="F19" t="s">
        <v>122</v>
      </c>
      <c r="G19">
        <v>14990.14</v>
      </c>
      <c r="H19">
        <v>4397.3599999999997</v>
      </c>
      <c r="I19" s="20">
        <f t="shared" si="0"/>
        <v>1.4990139999999998</v>
      </c>
      <c r="J19" s="15">
        <f t="shared" si="1"/>
        <v>0.32017312713557045</v>
      </c>
    </row>
    <row r="20" spans="1:10" x14ac:dyDescent="0.2">
      <c r="A20" t="s">
        <v>254</v>
      </c>
      <c r="B20" t="s">
        <v>147</v>
      </c>
      <c r="C20">
        <v>1.69</v>
      </c>
      <c r="D20">
        <v>0.1</v>
      </c>
      <c r="E20">
        <f t="shared" si="2"/>
        <v>1.0190699999999999</v>
      </c>
      <c r="F20" t="s">
        <v>123</v>
      </c>
      <c r="G20">
        <v>7609.86</v>
      </c>
      <c r="H20">
        <v>3901.13</v>
      </c>
      <c r="I20" s="20">
        <f t="shared" si="0"/>
        <v>0.76098599999999994</v>
      </c>
      <c r="J20" s="15">
        <f t="shared" si="1"/>
        <v>-0.33914421553090324</v>
      </c>
    </row>
    <row r="21" spans="1:10" x14ac:dyDescent="0.2">
      <c r="A21" t="s">
        <v>254</v>
      </c>
      <c r="B21" t="s">
        <v>147</v>
      </c>
      <c r="C21">
        <v>1.69</v>
      </c>
      <c r="D21">
        <v>0.1</v>
      </c>
      <c r="E21">
        <f t="shared" si="2"/>
        <v>1.0190699999999999</v>
      </c>
      <c r="F21" t="s">
        <v>124</v>
      </c>
      <c r="G21">
        <v>6201.18</v>
      </c>
      <c r="H21">
        <v>3783.32</v>
      </c>
      <c r="I21" s="20">
        <f t="shared" si="0"/>
        <v>0.62011800000000006</v>
      </c>
      <c r="J21" s="15">
        <f t="shared" si="1"/>
        <v>-0.64334852399059517</v>
      </c>
    </row>
    <row r="22" spans="1:10" x14ac:dyDescent="0.2">
      <c r="A22" t="s">
        <v>313</v>
      </c>
      <c r="B22" t="s">
        <v>288</v>
      </c>
      <c r="C22">
        <v>0.83</v>
      </c>
      <c r="D22">
        <v>0.02</v>
      </c>
      <c r="E22">
        <f t="shared" si="2"/>
        <v>0.50048999999999999</v>
      </c>
      <c r="F22" t="s">
        <v>131</v>
      </c>
      <c r="G22">
        <v>6057.34</v>
      </c>
      <c r="H22">
        <v>3543.36</v>
      </c>
      <c r="I22" s="20">
        <f t="shared" si="0"/>
        <v>0.60573399999999999</v>
      </c>
      <c r="J22" s="15">
        <f t="shared" si="1"/>
        <v>0.1737462318443409</v>
      </c>
    </row>
    <row r="23" spans="1:10" x14ac:dyDescent="0.2">
      <c r="A23" t="s">
        <v>313</v>
      </c>
      <c r="B23" t="s">
        <v>288</v>
      </c>
      <c r="C23">
        <v>0.83</v>
      </c>
      <c r="D23">
        <v>0.02</v>
      </c>
      <c r="E23">
        <f t="shared" si="2"/>
        <v>0.50048999999999999</v>
      </c>
      <c r="F23" t="s">
        <v>132</v>
      </c>
      <c r="G23" t="s">
        <v>107</v>
      </c>
      <c r="H23">
        <v>6566.01</v>
      </c>
      <c r="I23" s="20" t="e">
        <f t="shared" si="0"/>
        <v>#VALUE!</v>
      </c>
      <c r="J23" s="15" t="e">
        <f t="shared" si="1"/>
        <v>#VALUE!</v>
      </c>
    </row>
    <row r="24" spans="1:10" x14ac:dyDescent="0.2">
      <c r="A24" t="s">
        <v>313</v>
      </c>
      <c r="B24" t="s">
        <v>288</v>
      </c>
      <c r="C24">
        <v>0.83</v>
      </c>
      <c r="D24">
        <v>0.02</v>
      </c>
      <c r="E24">
        <f t="shared" si="2"/>
        <v>0.50048999999999999</v>
      </c>
      <c r="F24" t="s">
        <v>133</v>
      </c>
      <c r="G24">
        <v>6986.98</v>
      </c>
      <c r="H24">
        <v>3719.11</v>
      </c>
      <c r="I24" s="20">
        <f t="shared" si="0"/>
        <v>0.69869799999999993</v>
      </c>
      <c r="J24" s="15">
        <f t="shared" si="1"/>
        <v>0.28368193411173348</v>
      </c>
    </row>
    <row r="25" spans="1:10" x14ac:dyDescent="0.2">
      <c r="B25" t="s">
        <v>330</v>
      </c>
      <c r="F25" t="s">
        <v>134</v>
      </c>
      <c r="G25">
        <v>8142.14</v>
      </c>
      <c r="H25">
        <v>3578.07</v>
      </c>
      <c r="I25" s="20">
        <f t="shared" ref="I25:I30" si="3">G25/10^4</f>
        <v>0.81421399999999999</v>
      </c>
      <c r="J25" s="15">
        <f t="shared" ref="J25:J30" si="4">1-E25/I25</f>
        <v>1</v>
      </c>
    </row>
    <row r="26" spans="1:10" x14ac:dyDescent="0.2">
      <c r="B26" t="s">
        <v>330</v>
      </c>
      <c r="F26" t="s">
        <v>136</v>
      </c>
      <c r="G26">
        <v>12165.61</v>
      </c>
      <c r="H26">
        <v>3848.82</v>
      </c>
      <c r="I26" s="20">
        <f t="shared" si="3"/>
        <v>1.216561</v>
      </c>
      <c r="J26" s="15">
        <f t="shared" si="4"/>
        <v>1</v>
      </c>
    </row>
    <row r="27" spans="1:10" x14ac:dyDescent="0.2">
      <c r="B27" t="s">
        <v>330</v>
      </c>
      <c r="F27" t="s">
        <v>137</v>
      </c>
      <c r="G27">
        <v>8631.0499999999993</v>
      </c>
      <c r="H27">
        <v>3831.95</v>
      </c>
      <c r="I27" s="20">
        <f t="shared" si="3"/>
        <v>0.8631049999999999</v>
      </c>
      <c r="J27" s="15">
        <f t="shared" si="4"/>
        <v>1</v>
      </c>
    </row>
    <row r="28" spans="1:10" x14ac:dyDescent="0.2">
      <c r="B28" t="s">
        <v>330</v>
      </c>
      <c r="F28" t="s">
        <v>262</v>
      </c>
      <c r="G28">
        <v>17911.400000000001</v>
      </c>
      <c r="H28">
        <v>4234.3599999999997</v>
      </c>
      <c r="I28" s="20">
        <f t="shared" si="3"/>
        <v>1.7911400000000002</v>
      </c>
      <c r="J28" s="15">
        <f t="shared" si="4"/>
        <v>1</v>
      </c>
    </row>
    <row r="29" spans="1:10" x14ac:dyDescent="0.2">
      <c r="B29" t="s">
        <v>330</v>
      </c>
      <c r="F29" t="s">
        <v>263</v>
      </c>
      <c r="G29">
        <v>19755.740000000002</v>
      </c>
      <c r="H29">
        <v>4097.8599999999997</v>
      </c>
      <c r="I29" s="20">
        <f t="shared" si="3"/>
        <v>1.9755740000000002</v>
      </c>
      <c r="J29" s="15">
        <f t="shared" si="4"/>
        <v>1</v>
      </c>
    </row>
    <row r="30" spans="1:10" x14ac:dyDescent="0.2">
      <c r="B30" t="s">
        <v>330</v>
      </c>
      <c r="F30" t="s">
        <v>264</v>
      </c>
      <c r="G30">
        <v>15916.12</v>
      </c>
      <c r="H30">
        <v>4119.1899999999996</v>
      </c>
      <c r="I30" s="20">
        <f t="shared" si="3"/>
        <v>1.591612</v>
      </c>
      <c r="J30" s="15">
        <f t="shared" si="4"/>
        <v>1</v>
      </c>
    </row>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sheetPr>
  <dimension ref="A3:J28"/>
  <sheetViews>
    <sheetView topLeftCell="A3" workbookViewId="0">
      <selection activeCell="J22" sqref="J22:J27"/>
    </sheetView>
  </sheetViews>
  <sheetFormatPr baseColWidth="10" defaultColWidth="8.83203125" defaultRowHeight="15" x14ac:dyDescent="0.2"/>
  <cols>
    <col min="5" max="5" width="12.83203125" bestFit="1" customWidth="1"/>
    <col min="6" max="8" width="11" customWidth="1"/>
    <col min="9" max="9" width="17.5" bestFit="1" customWidth="1"/>
  </cols>
  <sheetData>
    <row r="3" spans="1:10" x14ac:dyDescent="0.2">
      <c r="A3" t="s">
        <v>253</v>
      </c>
      <c r="B3" t="s">
        <v>141</v>
      </c>
      <c r="C3" t="s">
        <v>103</v>
      </c>
      <c r="D3" t="s">
        <v>140</v>
      </c>
      <c r="E3" t="s">
        <v>252</v>
      </c>
      <c r="F3" t="s">
        <v>258</v>
      </c>
      <c r="G3" t="s">
        <v>103</v>
      </c>
      <c r="H3" t="s">
        <v>272</v>
      </c>
      <c r="I3" t="s">
        <v>257</v>
      </c>
    </row>
    <row r="4" spans="1:10" x14ac:dyDescent="0.2">
      <c r="A4" t="s">
        <v>260</v>
      </c>
      <c r="E4">
        <f t="shared" ref="E4:E19" si="0">C4/10^4</f>
        <v>0</v>
      </c>
      <c r="F4" t="s">
        <v>106</v>
      </c>
      <c r="G4">
        <v>672.02</v>
      </c>
      <c r="H4">
        <v>90.92</v>
      </c>
      <c r="I4" s="20">
        <f>G4/10^4</f>
        <v>6.7201999999999998E-2</v>
      </c>
      <c r="J4" s="15">
        <f>1-E4/I4</f>
        <v>1</v>
      </c>
    </row>
    <row r="5" spans="1:10" x14ac:dyDescent="0.2">
      <c r="A5" t="s">
        <v>260</v>
      </c>
      <c r="E5">
        <f t="shared" si="0"/>
        <v>0</v>
      </c>
      <c r="F5" t="s">
        <v>108</v>
      </c>
      <c r="G5" t="s">
        <v>107</v>
      </c>
      <c r="H5">
        <v>406.99</v>
      </c>
      <c r="I5" s="20" t="e">
        <f t="shared" ref="I5:I21" si="1">G5/10^4</f>
        <v>#VALUE!</v>
      </c>
      <c r="J5" s="15" t="e">
        <f t="shared" ref="J5:J27" si="2">1-E5/I5</f>
        <v>#VALUE!</v>
      </c>
    </row>
    <row r="6" spans="1:10" x14ac:dyDescent="0.2">
      <c r="A6" t="s">
        <v>260</v>
      </c>
      <c r="E6">
        <f t="shared" si="0"/>
        <v>0</v>
      </c>
      <c r="F6" t="s">
        <v>109</v>
      </c>
      <c r="G6" t="s">
        <v>107</v>
      </c>
      <c r="H6">
        <v>402.46</v>
      </c>
      <c r="I6" s="20" t="e">
        <f t="shared" si="1"/>
        <v>#VALUE!</v>
      </c>
      <c r="J6" s="15" t="e">
        <f t="shared" si="2"/>
        <v>#VALUE!</v>
      </c>
    </row>
    <row r="7" spans="1:10" x14ac:dyDescent="0.2">
      <c r="A7" t="s">
        <v>259</v>
      </c>
      <c r="E7">
        <f t="shared" si="0"/>
        <v>0</v>
      </c>
      <c r="F7" t="s">
        <v>110</v>
      </c>
      <c r="G7">
        <v>453.58</v>
      </c>
      <c r="H7">
        <v>78.180000000000007</v>
      </c>
      <c r="I7" s="20">
        <f t="shared" si="1"/>
        <v>4.5357999999999996E-2</v>
      </c>
      <c r="J7" s="15">
        <f t="shared" si="2"/>
        <v>1</v>
      </c>
    </row>
    <row r="8" spans="1:10" x14ac:dyDescent="0.2">
      <c r="A8" t="s">
        <v>259</v>
      </c>
      <c r="E8">
        <f t="shared" si="0"/>
        <v>0</v>
      </c>
      <c r="F8" t="s">
        <v>111</v>
      </c>
      <c r="G8">
        <v>433.05</v>
      </c>
      <c r="H8">
        <v>79.84</v>
      </c>
      <c r="I8" s="20">
        <f t="shared" si="1"/>
        <v>4.3305000000000003E-2</v>
      </c>
      <c r="J8" s="15">
        <f t="shared" si="2"/>
        <v>1</v>
      </c>
    </row>
    <row r="9" spans="1:10" x14ac:dyDescent="0.2">
      <c r="A9" t="s">
        <v>259</v>
      </c>
      <c r="E9">
        <f t="shared" si="0"/>
        <v>0</v>
      </c>
      <c r="F9" t="s">
        <v>112</v>
      </c>
      <c r="G9">
        <v>417.14</v>
      </c>
      <c r="H9">
        <v>82.19</v>
      </c>
      <c r="I9" s="20">
        <f t="shared" si="1"/>
        <v>4.1714000000000001E-2</v>
      </c>
      <c r="J9" s="15">
        <f t="shared" si="2"/>
        <v>1</v>
      </c>
    </row>
    <row r="10" spans="1:10" x14ac:dyDescent="0.2">
      <c r="A10" t="s">
        <v>113</v>
      </c>
      <c r="E10">
        <f t="shared" si="0"/>
        <v>0</v>
      </c>
      <c r="F10" t="s">
        <v>113</v>
      </c>
      <c r="G10" t="s">
        <v>107</v>
      </c>
      <c r="H10">
        <v>273.08</v>
      </c>
      <c r="I10" s="20" t="e">
        <f t="shared" si="1"/>
        <v>#VALUE!</v>
      </c>
      <c r="J10" s="15" t="e">
        <f t="shared" si="2"/>
        <v>#VALUE!</v>
      </c>
    </row>
    <row r="11" spans="1:10" x14ac:dyDescent="0.2">
      <c r="A11" t="s">
        <v>113</v>
      </c>
      <c r="E11">
        <f t="shared" si="0"/>
        <v>0</v>
      </c>
      <c r="F11" t="s">
        <v>114</v>
      </c>
      <c r="G11" t="s">
        <v>107</v>
      </c>
      <c r="H11">
        <v>267.18</v>
      </c>
      <c r="I11" s="20" t="e">
        <f t="shared" si="1"/>
        <v>#VALUE!</v>
      </c>
      <c r="J11" s="15" t="e">
        <f t="shared" si="2"/>
        <v>#VALUE!</v>
      </c>
    </row>
    <row r="12" spans="1:10" x14ac:dyDescent="0.2">
      <c r="A12" t="s">
        <v>113</v>
      </c>
      <c r="E12">
        <f t="shared" si="0"/>
        <v>0</v>
      </c>
      <c r="F12" t="s">
        <v>115</v>
      </c>
      <c r="G12" t="s">
        <v>107</v>
      </c>
      <c r="H12">
        <v>260.2</v>
      </c>
      <c r="I12" s="20" t="e">
        <f t="shared" si="1"/>
        <v>#VALUE!</v>
      </c>
      <c r="J12" s="15" t="e">
        <f t="shared" si="2"/>
        <v>#VALUE!</v>
      </c>
    </row>
    <row r="13" spans="1:10" x14ac:dyDescent="0.2">
      <c r="A13" t="s">
        <v>256</v>
      </c>
      <c r="E13">
        <f t="shared" si="0"/>
        <v>0</v>
      </c>
      <c r="F13" t="s">
        <v>116</v>
      </c>
      <c r="G13">
        <v>1701.48</v>
      </c>
      <c r="H13">
        <v>129.91999999999999</v>
      </c>
      <c r="I13" s="20">
        <f t="shared" si="1"/>
        <v>0.17014799999999999</v>
      </c>
      <c r="J13" s="15">
        <f t="shared" si="2"/>
        <v>1</v>
      </c>
    </row>
    <row r="14" spans="1:10" x14ac:dyDescent="0.2">
      <c r="A14" t="s">
        <v>256</v>
      </c>
      <c r="E14">
        <f t="shared" si="0"/>
        <v>0</v>
      </c>
      <c r="F14" t="s">
        <v>117</v>
      </c>
      <c r="G14">
        <v>1778.38</v>
      </c>
      <c r="H14">
        <v>126.53</v>
      </c>
      <c r="I14" s="20">
        <f t="shared" si="1"/>
        <v>0.17783800000000002</v>
      </c>
      <c r="J14" s="15">
        <f t="shared" si="2"/>
        <v>1</v>
      </c>
    </row>
    <row r="15" spans="1:10" x14ac:dyDescent="0.2">
      <c r="A15" t="s">
        <v>256</v>
      </c>
      <c r="E15">
        <f t="shared" si="0"/>
        <v>0</v>
      </c>
      <c r="F15" t="s">
        <v>118</v>
      </c>
      <c r="G15">
        <v>1644.44</v>
      </c>
      <c r="H15">
        <v>117.17</v>
      </c>
      <c r="I15" s="20">
        <f t="shared" si="1"/>
        <v>0.16444400000000001</v>
      </c>
      <c r="J15" s="15">
        <f t="shared" si="2"/>
        <v>1</v>
      </c>
    </row>
    <row r="16" spans="1:10" x14ac:dyDescent="0.2">
      <c r="A16" t="s">
        <v>255</v>
      </c>
      <c r="E16">
        <v>0.71499999999999997</v>
      </c>
      <c r="F16" t="s">
        <v>119</v>
      </c>
      <c r="G16">
        <v>5608.56</v>
      </c>
      <c r="H16">
        <v>151.68</v>
      </c>
      <c r="I16" s="20">
        <f t="shared" si="1"/>
        <v>0.56085600000000002</v>
      </c>
      <c r="J16" s="15">
        <f t="shared" si="2"/>
        <v>-0.27483703481820632</v>
      </c>
    </row>
    <row r="17" spans="1:10" x14ac:dyDescent="0.2">
      <c r="A17" t="s">
        <v>255</v>
      </c>
      <c r="E17">
        <v>0.71499999999999997</v>
      </c>
      <c r="F17" t="s">
        <v>120</v>
      </c>
      <c r="G17">
        <v>5674.55</v>
      </c>
      <c r="H17">
        <v>155.08000000000001</v>
      </c>
      <c r="I17" s="20">
        <f t="shared" si="1"/>
        <v>0.56745500000000004</v>
      </c>
      <c r="J17" s="15">
        <f t="shared" si="2"/>
        <v>-0.2600118071036468</v>
      </c>
    </row>
    <row r="18" spans="1:10" x14ac:dyDescent="0.2">
      <c r="A18" t="s">
        <v>255</v>
      </c>
      <c r="E18">
        <v>0.71499999999999997</v>
      </c>
      <c r="F18" t="s">
        <v>121</v>
      </c>
      <c r="G18">
        <v>5602.32</v>
      </c>
      <c r="H18">
        <v>150.66</v>
      </c>
      <c r="I18" s="20">
        <f t="shared" si="1"/>
        <v>0.56023199999999995</v>
      </c>
      <c r="J18" s="15">
        <f t="shared" si="2"/>
        <v>-0.27625697925145309</v>
      </c>
    </row>
    <row r="19" spans="1:10" x14ac:dyDescent="0.2">
      <c r="A19" t="s">
        <v>254</v>
      </c>
      <c r="E19">
        <f t="shared" si="0"/>
        <v>0</v>
      </c>
      <c r="F19" t="s">
        <v>122</v>
      </c>
      <c r="G19">
        <v>363.61</v>
      </c>
      <c r="H19">
        <v>74.33</v>
      </c>
      <c r="I19" s="20">
        <f t="shared" si="1"/>
        <v>3.6361000000000004E-2</v>
      </c>
      <c r="J19" s="15">
        <f t="shared" si="2"/>
        <v>1</v>
      </c>
    </row>
    <row r="20" spans="1:10" x14ac:dyDescent="0.2">
      <c r="A20" t="s">
        <v>254</v>
      </c>
      <c r="E20">
        <f>C20/10^4</f>
        <v>0</v>
      </c>
      <c r="F20" t="s">
        <v>123</v>
      </c>
      <c r="G20">
        <v>593.33000000000004</v>
      </c>
      <c r="H20">
        <v>77.8</v>
      </c>
      <c r="I20" s="20">
        <f t="shared" si="1"/>
        <v>5.9333000000000004E-2</v>
      </c>
      <c r="J20" s="15">
        <f t="shared" si="2"/>
        <v>1</v>
      </c>
    </row>
    <row r="21" spans="1:10" x14ac:dyDescent="0.2">
      <c r="A21" t="s">
        <v>254</v>
      </c>
      <c r="E21">
        <f>C21/10^4</f>
        <v>0</v>
      </c>
      <c r="F21" t="s">
        <v>124</v>
      </c>
      <c r="G21" t="s">
        <v>107</v>
      </c>
      <c r="H21">
        <v>254.57</v>
      </c>
      <c r="I21" s="20" t="e">
        <f t="shared" si="1"/>
        <v>#VALUE!</v>
      </c>
      <c r="J21" s="15" t="e">
        <f t="shared" si="2"/>
        <v>#VALUE!</v>
      </c>
    </row>
    <row r="22" spans="1:10" x14ac:dyDescent="0.2">
      <c r="A22" t="s">
        <v>268</v>
      </c>
      <c r="C22">
        <v>12630</v>
      </c>
      <c r="E22">
        <f>C22/10^4</f>
        <v>1.2629999999999999</v>
      </c>
      <c r="F22" t="s">
        <v>262</v>
      </c>
      <c r="G22">
        <v>1220.98</v>
      </c>
      <c r="H22">
        <v>86.82</v>
      </c>
      <c r="I22" s="20">
        <f t="shared" ref="I22:I27" si="3">G22/10^4</f>
        <v>0.122098</v>
      </c>
      <c r="J22" s="15">
        <f t="shared" si="2"/>
        <v>-9.344149781323198</v>
      </c>
    </row>
    <row r="23" spans="1:10" x14ac:dyDescent="0.2">
      <c r="A23" t="s">
        <v>268</v>
      </c>
      <c r="C23">
        <v>12630</v>
      </c>
      <c r="E23">
        <f>C23/10^4</f>
        <v>1.2629999999999999</v>
      </c>
      <c r="F23" t="s">
        <v>263</v>
      </c>
      <c r="G23">
        <v>1193.7</v>
      </c>
      <c r="H23">
        <v>81.87</v>
      </c>
      <c r="I23" s="20">
        <f t="shared" si="3"/>
        <v>0.11937</v>
      </c>
      <c r="J23" s="15">
        <f t="shared" si="2"/>
        <v>-9.58054787635084</v>
      </c>
    </row>
    <row r="24" spans="1:10" x14ac:dyDescent="0.2">
      <c r="A24" t="s">
        <v>268</v>
      </c>
      <c r="C24">
        <v>12630</v>
      </c>
      <c r="E24">
        <f>C24/10^4</f>
        <v>1.2629999999999999</v>
      </c>
      <c r="F24" t="s">
        <v>264</v>
      </c>
      <c r="G24">
        <v>1230.4000000000001</v>
      </c>
      <c r="H24">
        <v>86.66</v>
      </c>
      <c r="I24" s="20">
        <f t="shared" si="3"/>
        <v>0.12304000000000001</v>
      </c>
      <c r="J24" s="15">
        <f t="shared" si="2"/>
        <v>-9.2649544863459017</v>
      </c>
    </row>
    <row r="25" spans="1:10" x14ac:dyDescent="0.2">
      <c r="A25" t="s">
        <v>308</v>
      </c>
      <c r="E25">
        <v>0.12</v>
      </c>
      <c r="F25" t="s">
        <v>131</v>
      </c>
      <c r="G25">
        <v>2207.31</v>
      </c>
      <c r="H25">
        <v>102.61</v>
      </c>
      <c r="I25" s="20">
        <f t="shared" si="3"/>
        <v>0.22073099999999998</v>
      </c>
      <c r="J25" s="15">
        <f t="shared" si="2"/>
        <v>0.45635184908327331</v>
      </c>
    </row>
    <row r="26" spans="1:10" x14ac:dyDescent="0.2">
      <c r="A26" t="s">
        <v>308</v>
      </c>
      <c r="E26">
        <v>0.12</v>
      </c>
      <c r="F26" t="s">
        <v>132</v>
      </c>
      <c r="G26">
        <v>2119.23</v>
      </c>
      <c r="H26">
        <v>98.94</v>
      </c>
      <c r="I26" s="20">
        <f t="shared" si="3"/>
        <v>0.211923</v>
      </c>
      <c r="J26" s="15">
        <f t="shared" si="2"/>
        <v>0.43375660027462803</v>
      </c>
    </row>
    <row r="27" spans="1:10" x14ac:dyDescent="0.2">
      <c r="A27" t="s">
        <v>308</v>
      </c>
      <c r="E27">
        <v>0.12</v>
      </c>
      <c r="F27" t="s">
        <v>133</v>
      </c>
      <c r="G27">
        <v>2051.85</v>
      </c>
      <c r="H27">
        <v>103.7</v>
      </c>
      <c r="I27" s="20">
        <f t="shared" si="3"/>
        <v>0.20518499999999998</v>
      </c>
      <c r="J27" s="15">
        <f t="shared" si="2"/>
        <v>0.41516192704145038</v>
      </c>
    </row>
    <row r="28" spans="1:10" x14ac:dyDescent="0.2">
      <c r="J28" s="15"/>
    </row>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3:J24"/>
  <sheetViews>
    <sheetView topLeftCell="H3" workbookViewId="0">
      <selection activeCell="C25" sqref="C25"/>
    </sheetView>
  </sheetViews>
  <sheetFormatPr baseColWidth="10" defaultColWidth="8.83203125" defaultRowHeight="15" x14ac:dyDescent="0.2"/>
  <cols>
    <col min="2" max="2" width="17.6640625" bestFit="1" customWidth="1"/>
    <col min="5" max="5" width="12.83203125" bestFit="1" customWidth="1"/>
    <col min="6" max="8" width="11" customWidth="1"/>
    <col min="9" max="9" width="17.5" bestFit="1" customWidth="1"/>
  </cols>
  <sheetData>
    <row r="3" spans="1:10" x14ac:dyDescent="0.2">
      <c r="A3" t="s">
        <v>253</v>
      </c>
      <c r="B3" t="s">
        <v>141</v>
      </c>
      <c r="C3" t="s">
        <v>314</v>
      </c>
      <c r="D3" t="s">
        <v>140</v>
      </c>
      <c r="E3" t="s">
        <v>252</v>
      </c>
      <c r="F3" t="s">
        <v>258</v>
      </c>
      <c r="G3" t="s">
        <v>103</v>
      </c>
      <c r="H3" t="s">
        <v>272</v>
      </c>
      <c r="I3" t="s">
        <v>257</v>
      </c>
    </row>
    <row r="4" spans="1:10" x14ac:dyDescent="0.2">
      <c r="A4" t="s">
        <v>260</v>
      </c>
      <c r="F4" t="s">
        <v>106</v>
      </c>
      <c r="G4">
        <v>119.89</v>
      </c>
      <c r="H4">
        <v>67.900000000000006</v>
      </c>
      <c r="I4" s="20">
        <f>G4/10^4</f>
        <v>1.1989E-2</v>
      </c>
      <c r="J4" s="15">
        <f>1-E4/I4</f>
        <v>1</v>
      </c>
    </row>
    <row r="5" spans="1:10" x14ac:dyDescent="0.2">
      <c r="A5" t="s">
        <v>260</v>
      </c>
      <c r="F5" t="s">
        <v>108</v>
      </c>
      <c r="G5">
        <v>120.97</v>
      </c>
      <c r="H5">
        <v>69.19</v>
      </c>
      <c r="I5" s="20">
        <f t="shared" ref="I5:I24" si="0">G5/10^4</f>
        <v>1.2097E-2</v>
      </c>
      <c r="J5" s="15">
        <f t="shared" ref="J5:J24" si="1">1-E5/I5</f>
        <v>1</v>
      </c>
    </row>
    <row r="6" spans="1:10" x14ac:dyDescent="0.2">
      <c r="A6" t="s">
        <v>260</v>
      </c>
      <c r="F6" t="s">
        <v>109</v>
      </c>
      <c r="G6">
        <v>150.68</v>
      </c>
      <c r="H6">
        <v>70.989999999999995</v>
      </c>
      <c r="I6" s="20">
        <f t="shared" si="0"/>
        <v>1.5068000000000002E-2</v>
      </c>
      <c r="J6" s="15">
        <f t="shared" si="1"/>
        <v>1</v>
      </c>
    </row>
    <row r="7" spans="1:10" x14ac:dyDescent="0.2">
      <c r="A7" t="s">
        <v>259</v>
      </c>
      <c r="F7" t="s">
        <v>110</v>
      </c>
      <c r="I7" s="20">
        <f t="shared" si="0"/>
        <v>0</v>
      </c>
      <c r="J7" s="15" t="e">
        <f t="shared" si="1"/>
        <v>#DIV/0!</v>
      </c>
    </row>
    <row r="8" spans="1:10" x14ac:dyDescent="0.2">
      <c r="A8" t="s">
        <v>259</v>
      </c>
      <c r="F8" t="s">
        <v>111</v>
      </c>
      <c r="I8" s="20">
        <f t="shared" si="0"/>
        <v>0</v>
      </c>
      <c r="J8" s="15" t="e">
        <f t="shared" si="1"/>
        <v>#DIV/0!</v>
      </c>
    </row>
    <row r="9" spans="1:10" x14ac:dyDescent="0.2">
      <c r="A9" t="s">
        <v>259</v>
      </c>
      <c r="F9" t="s">
        <v>112</v>
      </c>
      <c r="I9" s="20">
        <f t="shared" si="0"/>
        <v>0</v>
      </c>
      <c r="J9" s="15" t="e">
        <f t="shared" si="1"/>
        <v>#DIV/0!</v>
      </c>
    </row>
    <row r="10" spans="1:10" x14ac:dyDescent="0.2">
      <c r="A10" t="s">
        <v>113</v>
      </c>
      <c r="F10" t="s">
        <v>113</v>
      </c>
      <c r="G10">
        <v>94.94</v>
      </c>
      <c r="H10">
        <v>49.12</v>
      </c>
      <c r="I10" s="20">
        <f t="shared" si="0"/>
        <v>9.493999999999999E-3</v>
      </c>
      <c r="J10" s="15">
        <f t="shared" si="1"/>
        <v>1</v>
      </c>
    </row>
    <row r="11" spans="1:10" x14ac:dyDescent="0.2">
      <c r="A11" t="s">
        <v>113</v>
      </c>
      <c r="F11" t="s">
        <v>114</v>
      </c>
      <c r="G11">
        <v>89.86</v>
      </c>
      <c r="H11">
        <v>49.37</v>
      </c>
      <c r="I11" s="20">
        <f t="shared" si="0"/>
        <v>8.9859999999999992E-3</v>
      </c>
      <c r="J11" s="15">
        <f t="shared" si="1"/>
        <v>1</v>
      </c>
    </row>
    <row r="12" spans="1:10" x14ac:dyDescent="0.2">
      <c r="A12" t="s">
        <v>113</v>
      </c>
      <c r="F12" t="s">
        <v>115</v>
      </c>
      <c r="G12">
        <v>123.79</v>
      </c>
      <c r="H12">
        <v>49.55</v>
      </c>
      <c r="I12" s="20">
        <f t="shared" si="0"/>
        <v>1.2379000000000001E-2</v>
      </c>
      <c r="J12" s="15">
        <f t="shared" si="1"/>
        <v>1</v>
      </c>
    </row>
    <row r="13" spans="1:10" x14ac:dyDescent="0.2">
      <c r="A13" t="s">
        <v>256</v>
      </c>
      <c r="F13" t="s">
        <v>116</v>
      </c>
      <c r="I13" s="20">
        <f t="shared" si="0"/>
        <v>0</v>
      </c>
      <c r="J13" s="15" t="e">
        <f t="shared" si="1"/>
        <v>#DIV/0!</v>
      </c>
    </row>
    <row r="14" spans="1:10" x14ac:dyDescent="0.2">
      <c r="A14" t="s">
        <v>256</v>
      </c>
      <c r="F14" t="s">
        <v>117</v>
      </c>
      <c r="I14" s="20">
        <f t="shared" si="0"/>
        <v>0</v>
      </c>
      <c r="J14" s="15" t="e">
        <f t="shared" si="1"/>
        <v>#DIV/0!</v>
      </c>
    </row>
    <row r="15" spans="1:10" x14ac:dyDescent="0.2">
      <c r="A15" t="s">
        <v>256</v>
      </c>
      <c r="F15" t="s">
        <v>118</v>
      </c>
      <c r="I15" s="20">
        <f t="shared" si="0"/>
        <v>0</v>
      </c>
      <c r="J15" s="15" t="e">
        <f t="shared" si="1"/>
        <v>#DIV/0!</v>
      </c>
    </row>
    <row r="16" spans="1:10" x14ac:dyDescent="0.2">
      <c r="A16" t="s">
        <v>255</v>
      </c>
      <c r="F16" t="s">
        <v>119</v>
      </c>
      <c r="I16" s="20">
        <f t="shared" si="0"/>
        <v>0</v>
      </c>
      <c r="J16" s="15" t="e">
        <f t="shared" si="1"/>
        <v>#DIV/0!</v>
      </c>
    </row>
    <row r="17" spans="1:10" x14ac:dyDescent="0.2">
      <c r="A17" t="s">
        <v>255</v>
      </c>
      <c r="F17" t="s">
        <v>120</v>
      </c>
      <c r="I17" s="20">
        <f t="shared" si="0"/>
        <v>0</v>
      </c>
      <c r="J17" s="15" t="e">
        <f t="shared" si="1"/>
        <v>#DIV/0!</v>
      </c>
    </row>
    <row r="18" spans="1:10" x14ac:dyDescent="0.2">
      <c r="A18" t="s">
        <v>255</v>
      </c>
      <c r="F18" t="s">
        <v>121</v>
      </c>
      <c r="I18" s="20">
        <f t="shared" si="0"/>
        <v>0</v>
      </c>
      <c r="J18" s="15" t="e">
        <f t="shared" si="1"/>
        <v>#DIV/0!</v>
      </c>
    </row>
    <row r="19" spans="1:10" x14ac:dyDescent="0.2">
      <c r="A19" t="s">
        <v>254</v>
      </c>
      <c r="F19" t="s">
        <v>122</v>
      </c>
      <c r="I19" s="20">
        <f t="shared" si="0"/>
        <v>0</v>
      </c>
      <c r="J19" s="15" t="e">
        <f t="shared" si="1"/>
        <v>#DIV/0!</v>
      </c>
    </row>
    <row r="20" spans="1:10" x14ac:dyDescent="0.2">
      <c r="A20" t="s">
        <v>254</v>
      </c>
      <c r="F20" t="s">
        <v>123</v>
      </c>
      <c r="I20" s="20">
        <f t="shared" si="0"/>
        <v>0</v>
      </c>
      <c r="J20" s="15" t="e">
        <f t="shared" si="1"/>
        <v>#DIV/0!</v>
      </c>
    </row>
    <row r="21" spans="1:10" x14ac:dyDescent="0.2">
      <c r="A21" t="s">
        <v>254</v>
      </c>
      <c r="F21" t="s">
        <v>124</v>
      </c>
      <c r="I21" s="20">
        <f t="shared" si="0"/>
        <v>0</v>
      </c>
      <c r="J21" s="15" t="e">
        <f t="shared" si="1"/>
        <v>#DIV/0!</v>
      </c>
    </row>
    <row r="22" spans="1:10" x14ac:dyDescent="0.2">
      <c r="A22" t="s">
        <v>313</v>
      </c>
      <c r="F22" t="s">
        <v>131</v>
      </c>
      <c r="I22" s="20">
        <f t="shared" si="0"/>
        <v>0</v>
      </c>
      <c r="J22" s="15" t="e">
        <f t="shared" si="1"/>
        <v>#DIV/0!</v>
      </c>
    </row>
    <row r="23" spans="1:10" x14ac:dyDescent="0.2">
      <c r="A23" t="s">
        <v>313</v>
      </c>
      <c r="F23" t="s">
        <v>132</v>
      </c>
      <c r="I23" s="20">
        <f t="shared" si="0"/>
        <v>0</v>
      </c>
      <c r="J23" s="15" t="e">
        <f t="shared" si="1"/>
        <v>#DIV/0!</v>
      </c>
    </row>
    <row r="24" spans="1:10" x14ac:dyDescent="0.2">
      <c r="A24" t="s">
        <v>313</v>
      </c>
      <c r="F24" t="s">
        <v>133</v>
      </c>
      <c r="I24" s="20">
        <f t="shared" si="0"/>
        <v>0</v>
      </c>
      <c r="J24" s="15" t="e">
        <f t="shared" si="1"/>
        <v>#DIV/0!</v>
      </c>
    </row>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sheetPr>
  <dimension ref="A3:J24"/>
  <sheetViews>
    <sheetView topLeftCell="B7" workbookViewId="0">
      <selection activeCell="E28" sqref="E28"/>
    </sheetView>
  </sheetViews>
  <sheetFormatPr baseColWidth="10" defaultColWidth="8.83203125" defaultRowHeight="15" x14ac:dyDescent="0.2"/>
  <cols>
    <col min="2" max="2" width="17.6640625" bestFit="1" customWidth="1"/>
    <col min="5" max="5" width="12.83203125" bestFit="1" customWidth="1"/>
    <col min="6" max="8" width="11" customWidth="1"/>
    <col min="9" max="9" width="17.5" bestFit="1" customWidth="1"/>
  </cols>
  <sheetData>
    <row r="3" spans="1:10" x14ac:dyDescent="0.2">
      <c r="A3" t="s">
        <v>253</v>
      </c>
      <c r="B3" t="s">
        <v>315</v>
      </c>
      <c r="C3" t="s">
        <v>314</v>
      </c>
      <c r="D3" t="s">
        <v>140</v>
      </c>
      <c r="E3" t="s">
        <v>252</v>
      </c>
      <c r="F3" t="s">
        <v>258</v>
      </c>
      <c r="G3" t="s">
        <v>103</v>
      </c>
      <c r="H3" t="s">
        <v>272</v>
      </c>
      <c r="I3" t="s">
        <v>257</v>
      </c>
    </row>
    <row r="4" spans="1:10" x14ac:dyDescent="0.2">
      <c r="A4" t="s">
        <v>260</v>
      </c>
      <c r="B4" t="s">
        <v>50</v>
      </c>
      <c r="C4">
        <v>18</v>
      </c>
      <c r="D4">
        <v>2</v>
      </c>
      <c r="E4">
        <f t="shared" ref="E4:E18" si="0">C4/10^4</f>
        <v>1.8E-3</v>
      </c>
      <c r="F4" t="s">
        <v>106</v>
      </c>
      <c r="G4">
        <v>154.38</v>
      </c>
      <c r="H4">
        <v>31.69</v>
      </c>
      <c r="I4" s="20">
        <f>G4/10^4</f>
        <v>1.5438E-2</v>
      </c>
      <c r="J4" s="15">
        <f>1-E4/I4</f>
        <v>0.88340458608628059</v>
      </c>
    </row>
    <row r="5" spans="1:10" x14ac:dyDescent="0.2">
      <c r="A5" t="s">
        <v>260</v>
      </c>
      <c r="B5" t="s">
        <v>50</v>
      </c>
      <c r="F5" t="s">
        <v>108</v>
      </c>
      <c r="G5" t="s">
        <v>107</v>
      </c>
      <c r="H5">
        <v>23.33</v>
      </c>
      <c r="I5" s="20" t="e">
        <f t="shared" ref="I5:I24" si="1">G5/10^4</f>
        <v>#VALUE!</v>
      </c>
      <c r="J5" s="15" t="e">
        <f t="shared" ref="J5:J24" si="2">1-E5/I5</f>
        <v>#VALUE!</v>
      </c>
    </row>
    <row r="6" spans="1:10" x14ac:dyDescent="0.2">
      <c r="A6" t="s">
        <v>260</v>
      </c>
      <c r="B6" t="s">
        <v>50</v>
      </c>
      <c r="C6">
        <v>18</v>
      </c>
      <c r="D6">
        <v>2</v>
      </c>
      <c r="E6">
        <f t="shared" si="0"/>
        <v>1.8E-3</v>
      </c>
      <c r="F6" t="s">
        <v>109</v>
      </c>
      <c r="G6">
        <v>143.37</v>
      </c>
      <c r="H6">
        <v>32.799999999999997</v>
      </c>
      <c r="I6" s="20">
        <f t="shared" si="1"/>
        <v>1.4337000000000001E-2</v>
      </c>
      <c r="J6" s="15">
        <f t="shared" si="2"/>
        <v>0.87445072190834905</v>
      </c>
    </row>
    <row r="7" spans="1:10" x14ac:dyDescent="0.2">
      <c r="A7" t="s">
        <v>259</v>
      </c>
      <c r="B7" t="s">
        <v>50</v>
      </c>
      <c r="C7">
        <v>20</v>
      </c>
      <c r="D7">
        <v>6</v>
      </c>
      <c r="E7">
        <f t="shared" si="0"/>
        <v>2E-3</v>
      </c>
      <c r="F7" t="s">
        <v>110</v>
      </c>
      <c r="G7">
        <v>98.76</v>
      </c>
      <c r="H7">
        <v>12.41</v>
      </c>
      <c r="I7" s="20">
        <f t="shared" si="1"/>
        <v>9.8760000000000011E-3</v>
      </c>
      <c r="J7" s="15">
        <f t="shared" si="2"/>
        <v>0.79748886188740387</v>
      </c>
    </row>
    <row r="8" spans="1:10" x14ac:dyDescent="0.2">
      <c r="A8" t="s">
        <v>259</v>
      </c>
      <c r="B8" t="s">
        <v>50</v>
      </c>
      <c r="C8">
        <v>20</v>
      </c>
      <c r="D8">
        <v>6</v>
      </c>
      <c r="E8">
        <f t="shared" si="0"/>
        <v>2E-3</v>
      </c>
      <c r="F8" t="s">
        <v>111</v>
      </c>
      <c r="G8">
        <v>89.1</v>
      </c>
      <c r="H8">
        <v>12.37</v>
      </c>
      <c r="I8" s="20">
        <f t="shared" si="1"/>
        <v>8.9099999999999995E-3</v>
      </c>
      <c r="J8" s="15">
        <f t="shared" si="2"/>
        <v>0.77553310886644222</v>
      </c>
    </row>
    <row r="9" spans="1:10" x14ac:dyDescent="0.2">
      <c r="A9" t="s">
        <v>259</v>
      </c>
      <c r="B9" t="s">
        <v>50</v>
      </c>
      <c r="C9">
        <v>20</v>
      </c>
      <c r="D9">
        <v>6</v>
      </c>
      <c r="E9">
        <f t="shared" si="0"/>
        <v>2E-3</v>
      </c>
      <c r="F9" t="s">
        <v>112</v>
      </c>
      <c r="G9">
        <v>96.05</v>
      </c>
      <c r="H9">
        <v>12.23</v>
      </c>
      <c r="I9" s="20">
        <f t="shared" si="1"/>
        <v>9.604999999999999E-3</v>
      </c>
      <c r="J9" s="15">
        <f t="shared" si="2"/>
        <v>0.79177511712649662</v>
      </c>
    </row>
    <row r="10" spans="1:10" x14ac:dyDescent="0.2">
      <c r="A10" t="s">
        <v>113</v>
      </c>
      <c r="B10" t="s">
        <v>50</v>
      </c>
      <c r="C10">
        <v>17</v>
      </c>
      <c r="D10">
        <v>2</v>
      </c>
      <c r="E10">
        <f t="shared" si="0"/>
        <v>1.6999999999999999E-3</v>
      </c>
      <c r="F10" t="s">
        <v>113</v>
      </c>
      <c r="G10">
        <v>110.87</v>
      </c>
      <c r="H10">
        <v>24.06</v>
      </c>
      <c r="I10" s="20">
        <f t="shared" si="1"/>
        <v>1.1087E-2</v>
      </c>
      <c r="J10" s="15">
        <f t="shared" si="2"/>
        <v>0.84666726797149816</v>
      </c>
    </row>
    <row r="11" spans="1:10" x14ac:dyDescent="0.2">
      <c r="A11" t="s">
        <v>113</v>
      </c>
      <c r="B11" t="s">
        <v>50</v>
      </c>
      <c r="C11">
        <v>17</v>
      </c>
      <c r="D11">
        <v>2</v>
      </c>
      <c r="E11">
        <f t="shared" si="0"/>
        <v>1.6999999999999999E-3</v>
      </c>
      <c r="F11" t="s">
        <v>114</v>
      </c>
      <c r="G11">
        <v>128.91</v>
      </c>
      <c r="H11">
        <v>23.82</v>
      </c>
      <c r="I11" s="20">
        <f t="shared" si="1"/>
        <v>1.2891E-2</v>
      </c>
      <c r="J11" s="15">
        <f t="shared" si="2"/>
        <v>0.86812504848343808</v>
      </c>
    </row>
    <row r="12" spans="1:10" x14ac:dyDescent="0.2">
      <c r="A12" t="s">
        <v>113</v>
      </c>
      <c r="B12" t="s">
        <v>50</v>
      </c>
      <c r="C12">
        <v>17</v>
      </c>
      <c r="D12">
        <v>2</v>
      </c>
      <c r="E12">
        <f t="shared" si="0"/>
        <v>1.6999999999999999E-3</v>
      </c>
      <c r="F12" t="s">
        <v>115</v>
      </c>
      <c r="G12">
        <v>123.3</v>
      </c>
      <c r="H12">
        <v>23.86</v>
      </c>
      <c r="I12" s="20">
        <f t="shared" si="1"/>
        <v>1.2329999999999999E-2</v>
      </c>
      <c r="J12" s="15">
        <f t="shared" si="2"/>
        <v>0.86212489862124897</v>
      </c>
    </row>
    <row r="13" spans="1:10" x14ac:dyDescent="0.2">
      <c r="A13" t="s">
        <v>256</v>
      </c>
      <c r="B13" t="s">
        <v>270</v>
      </c>
      <c r="F13" t="s">
        <v>116</v>
      </c>
      <c r="G13">
        <v>105.76</v>
      </c>
      <c r="H13">
        <v>43.03</v>
      </c>
      <c r="I13" s="20">
        <f t="shared" si="1"/>
        <v>1.0576E-2</v>
      </c>
      <c r="J13" s="15">
        <f t="shared" si="2"/>
        <v>1</v>
      </c>
    </row>
    <row r="14" spans="1:10" x14ac:dyDescent="0.2">
      <c r="A14" t="s">
        <v>256</v>
      </c>
      <c r="B14" t="s">
        <v>270</v>
      </c>
      <c r="F14" t="s">
        <v>117</v>
      </c>
      <c r="G14">
        <v>92.82</v>
      </c>
      <c r="H14">
        <v>43.45</v>
      </c>
      <c r="I14" s="20">
        <f t="shared" si="1"/>
        <v>9.2819999999999986E-3</v>
      </c>
      <c r="J14" s="15">
        <f t="shared" si="2"/>
        <v>1</v>
      </c>
    </row>
    <row r="15" spans="1:10" x14ac:dyDescent="0.2">
      <c r="A15" t="s">
        <v>256</v>
      </c>
      <c r="B15" t="s">
        <v>270</v>
      </c>
      <c r="F15" t="s">
        <v>118</v>
      </c>
      <c r="G15">
        <v>140.88</v>
      </c>
      <c r="H15">
        <v>43.43</v>
      </c>
      <c r="I15" s="20">
        <f t="shared" si="1"/>
        <v>1.4088E-2</v>
      </c>
      <c r="J15" s="15">
        <f t="shared" si="2"/>
        <v>1</v>
      </c>
    </row>
    <row r="16" spans="1:10" x14ac:dyDescent="0.2">
      <c r="A16" t="s">
        <v>255</v>
      </c>
      <c r="B16" t="s">
        <v>50</v>
      </c>
      <c r="C16">
        <v>109</v>
      </c>
      <c r="D16">
        <v>1</v>
      </c>
      <c r="E16">
        <f t="shared" si="0"/>
        <v>1.09E-2</v>
      </c>
      <c r="F16" t="s">
        <v>119</v>
      </c>
      <c r="G16">
        <v>233.46</v>
      </c>
      <c r="H16">
        <v>29.26</v>
      </c>
      <c r="I16" s="20">
        <f t="shared" si="1"/>
        <v>2.3346000000000002E-2</v>
      </c>
      <c r="J16" s="15">
        <f t="shared" si="2"/>
        <v>0.5331105971044291</v>
      </c>
    </row>
    <row r="17" spans="1:10" x14ac:dyDescent="0.2">
      <c r="A17" t="s">
        <v>255</v>
      </c>
      <c r="B17" t="s">
        <v>50</v>
      </c>
      <c r="C17">
        <v>109</v>
      </c>
      <c r="D17">
        <v>1</v>
      </c>
      <c r="E17">
        <f t="shared" si="0"/>
        <v>1.09E-2</v>
      </c>
      <c r="F17" t="s">
        <v>120</v>
      </c>
      <c r="G17">
        <v>266.58999999999997</v>
      </c>
      <c r="H17">
        <v>28.9</v>
      </c>
      <c r="I17" s="20">
        <f t="shared" si="1"/>
        <v>2.6658999999999999E-2</v>
      </c>
      <c r="J17" s="15">
        <f t="shared" si="2"/>
        <v>0.59113245057954167</v>
      </c>
    </row>
    <row r="18" spans="1:10" x14ac:dyDescent="0.2">
      <c r="A18" t="s">
        <v>255</v>
      </c>
      <c r="B18" t="s">
        <v>50</v>
      </c>
      <c r="C18">
        <v>109</v>
      </c>
      <c r="D18">
        <v>1</v>
      </c>
      <c r="E18">
        <f t="shared" si="0"/>
        <v>1.09E-2</v>
      </c>
      <c r="F18" t="s">
        <v>121</v>
      </c>
      <c r="G18">
        <v>234.83</v>
      </c>
      <c r="H18">
        <v>29.09</v>
      </c>
      <c r="I18" s="20">
        <f t="shared" si="1"/>
        <v>2.3483E-2</v>
      </c>
      <c r="J18" s="15">
        <f t="shared" si="2"/>
        <v>0.53583443341992076</v>
      </c>
    </row>
    <row r="19" spans="1:10" x14ac:dyDescent="0.2">
      <c r="A19" t="s">
        <v>254</v>
      </c>
      <c r="B19" t="s">
        <v>50</v>
      </c>
      <c r="C19">
        <v>64</v>
      </c>
      <c r="D19">
        <v>7</v>
      </c>
      <c r="E19">
        <f t="shared" ref="E19:E24" si="3">C19/10^4</f>
        <v>6.4000000000000003E-3</v>
      </c>
      <c r="F19" t="s">
        <v>122</v>
      </c>
      <c r="G19">
        <v>158.75</v>
      </c>
      <c r="H19">
        <v>23.26</v>
      </c>
      <c r="I19" s="20">
        <f t="shared" si="1"/>
        <v>1.5875E-2</v>
      </c>
      <c r="J19" s="15">
        <f t="shared" si="2"/>
        <v>0.59685039370078741</v>
      </c>
    </row>
    <row r="20" spans="1:10" x14ac:dyDescent="0.2">
      <c r="A20" t="s">
        <v>254</v>
      </c>
      <c r="B20" t="s">
        <v>50</v>
      </c>
      <c r="C20">
        <v>64</v>
      </c>
      <c r="D20">
        <v>7</v>
      </c>
      <c r="E20">
        <f t="shared" si="3"/>
        <v>6.4000000000000003E-3</v>
      </c>
      <c r="F20" t="s">
        <v>123</v>
      </c>
      <c r="G20">
        <v>162.56</v>
      </c>
      <c r="H20">
        <v>23.45</v>
      </c>
      <c r="I20" s="20">
        <f t="shared" si="1"/>
        <v>1.6256E-2</v>
      </c>
      <c r="J20" s="15">
        <f t="shared" si="2"/>
        <v>0.60629921259842523</v>
      </c>
    </row>
    <row r="21" spans="1:10" x14ac:dyDescent="0.2">
      <c r="A21" t="s">
        <v>254</v>
      </c>
      <c r="B21" t="s">
        <v>50</v>
      </c>
      <c r="C21">
        <v>64</v>
      </c>
      <c r="D21">
        <v>7</v>
      </c>
      <c r="E21">
        <f t="shared" si="3"/>
        <v>6.4000000000000003E-3</v>
      </c>
      <c r="F21" t="s">
        <v>124</v>
      </c>
      <c r="G21">
        <v>155.88</v>
      </c>
      <c r="H21">
        <v>23.34</v>
      </c>
      <c r="I21" s="20">
        <f t="shared" si="1"/>
        <v>1.5587999999999999E-2</v>
      </c>
      <c r="J21" s="15">
        <f t="shared" si="2"/>
        <v>0.58942776494739535</v>
      </c>
    </row>
    <row r="22" spans="1:10" x14ac:dyDescent="0.2">
      <c r="A22" t="s">
        <v>313</v>
      </c>
      <c r="B22" t="s">
        <v>50</v>
      </c>
      <c r="C22">
        <v>79.7</v>
      </c>
      <c r="D22">
        <v>10</v>
      </c>
      <c r="E22">
        <f t="shared" si="3"/>
        <v>7.9699999999999997E-3</v>
      </c>
      <c r="F22" t="s">
        <v>131</v>
      </c>
      <c r="G22">
        <v>112.46</v>
      </c>
      <c r="H22">
        <v>12.76</v>
      </c>
      <c r="I22" s="20">
        <f t="shared" si="1"/>
        <v>1.1245999999999999E-2</v>
      </c>
      <c r="J22" s="15">
        <f t="shared" si="2"/>
        <v>0.29130357460430367</v>
      </c>
    </row>
    <row r="23" spans="1:10" x14ac:dyDescent="0.2">
      <c r="A23" t="s">
        <v>313</v>
      </c>
      <c r="B23" t="s">
        <v>50</v>
      </c>
      <c r="C23">
        <v>79.7</v>
      </c>
      <c r="D23">
        <v>10</v>
      </c>
      <c r="E23">
        <f t="shared" si="3"/>
        <v>7.9699999999999997E-3</v>
      </c>
      <c r="F23" t="s">
        <v>132</v>
      </c>
      <c r="G23">
        <v>98.44</v>
      </c>
      <c r="H23">
        <v>12.85</v>
      </c>
      <c r="I23" s="20">
        <f t="shared" si="1"/>
        <v>9.8440000000000003E-3</v>
      </c>
      <c r="J23" s="15">
        <f t="shared" si="2"/>
        <v>0.19036976838683473</v>
      </c>
    </row>
    <row r="24" spans="1:10" x14ac:dyDescent="0.2">
      <c r="A24" t="s">
        <v>313</v>
      </c>
      <c r="B24" t="s">
        <v>50</v>
      </c>
      <c r="C24">
        <v>79.7</v>
      </c>
      <c r="D24">
        <v>10</v>
      </c>
      <c r="E24">
        <f t="shared" si="3"/>
        <v>7.9699999999999997E-3</v>
      </c>
      <c r="F24" t="s">
        <v>133</v>
      </c>
      <c r="G24">
        <v>109.32</v>
      </c>
      <c r="H24">
        <v>12.52</v>
      </c>
      <c r="I24" s="20">
        <f t="shared" si="1"/>
        <v>1.0931999999999999E-2</v>
      </c>
      <c r="J24" s="15">
        <f t="shared" si="2"/>
        <v>0.27094767654592022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5"/>
  <sheetViews>
    <sheetView topLeftCell="A10" workbookViewId="0">
      <selection activeCell="F4" sqref="F4"/>
    </sheetView>
  </sheetViews>
  <sheetFormatPr baseColWidth="10" defaultColWidth="8.83203125" defaultRowHeight="15" x14ac:dyDescent="0.2"/>
  <sheetData>
    <row r="1" spans="1:8" x14ac:dyDescent="0.2">
      <c r="A1" t="s">
        <v>176</v>
      </c>
      <c r="D1" s="2" t="s">
        <v>177</v>
      </c>
      <c r="G1" t="s">
        <v>193</v>
      </c>
    </row>
    <row r="2" spans="1:8" x14ac:dyDescent="0.2">
      <c r="A2" t="s">
        <v>138</v>
      </c>
      <c r="B2" t="s">
        <v>139</v>
      </c>
      <c r="C2" t="s">
        <v>140</v>
      </c>
      <c r="E2" t="s">
        <v>141</v>
      </c>
      <c r="F2" t="s">
        <v>139</v>
      </c>
      <c r="G2" t="s">
        <v>140</v>
      </c>
    </row>
    <row r="3" spans="1:8" x14ac:dyDescent="0.2">
      <c r="A3" t="s">
        <v>92</v>
      </c>
      <c r="B3">
        <v>7.14</v>
      </c>
      <c r="C3">
        <v>0.1</v>
      </c>
      <c r="E3" t="s">
        <v>142</v>
      </c>
      <c r="F3">
        <v>13.5</v>
      </c>
      <c r="G3">
        <v>0.2</v>
      </c>
    </row>
    <row r="4" spans="1:8" x14ac:dyDescent="0.2">
      <c r="A4" t="s">
        <v>58</v>
      </c>
      <c r="C4">
        <v>0.08</v>
      </c>
      <c r="E4" t="s">
        <v>143</v>
      </c>
      <c r="F4">
        <v>7.12</v>
      </c>
      <c r="G4">
        <v>0.11</v>
      </c>
    </row>
    <row r="5" spans="1:8" x14ac:dyDescent="0.2">
      <c r="A5" t="s">
        <v>144</v>
      </c>
      <c r="B5">
        <v>9.66</v>
      </c>
      <c r="C5">
        <v>0.15</v>
      </c>
      <c r="E5" t="s">
        <v>145</v>
      </c>
      <c r="F5">
        <v>13.8</v>
      </c>
      <c r="G5">
        <v>0.2</v>
      </c>
      <c r="H5">
        <f>F5*0.6994</f>
        <v>9.651720000000001</v>
      </c>
    </row>
    <row r="6" spans="1:8" x14ac:dyDescent="0.2">
      <c r="A6" t="s">
        <v>60</v>
      </c>
      <c r="B6">
        <v>1.49</v>
      </c>
      <c r="C6">
        <v>0.04</v>
      </c>
      <c r="E6" t="s">
        <v>146</v>
      </c>
      <c r="F6">
        <v>1.79</v>
      </c>
      <c r="G6">
        <v>0.05</v>
      </c>
    </row>
    <row r="7" spans="1:8" x14ac:dyDescent="0.2">
      <c r="A7" t="s">
        <v>100</v>
      </c>
      <c r="B7">
        <v>2.16</v>
      </c>
      <c r="C7">
        <v>0.03</v>
      </c>
      <c r="E7" t="s">
        <v>147</v>
      </c>
      <c r="F7">
        <v>3.59</v>
      </c>
      <c r="G7">
        <v>0.05</v>
      </c>
    </row>
    <row r="8" spans="1:8" x14ac:dyDescent="0.2">
      <c r="A8" t="s">
        <v>148</v>
      </c>
      <c r="B8">
        <v>2.34</v>
      </c>
      <c r="C8">
        <v>0.08</v>
      </c>
      <c r="E8" t="s">
        <v>149</v>
      </c>
      <c r="F8">
        <v>3.16</v>
      </c>
      <c r="G8">
        <v>0.11</v>
      </c>
    </row>
    <row r="9" spans="1:8" x14ac:dyDescent="0.2">
      <c r="A9" t="s">
        <v>94</v>
      </c>
      <c r="B9">
        <v>0.15</v>
      </c>
      <c r="C9">
        <v>0.01</v>
      </c>
      <c r="E9" t="s">
        <v>150</v>
      </c>
      <c r="F9">
        <v>0.35</v>
      </c>
      <c r="G9">
        <v>0.02</v>
      </c>
    </row>
    <row r="10" spans="1:8" x14ac:dyDescent="0.2">
      <c r="A10" t="s">
        <v>96</v>
      </c>
      <c r="B10">
        <v>25.3</v>
      </c>
      <c r="C10">
        <v>0.4</v>
      </c>
      <c r="E10" t="s">
        <v>151</v>
      </c>
      <c r="F10">
        <v>54.1</v>
      </c>
      <c r="G10">
        <v>0.8</v>
      </c>
    </row>
    <row r="11" spans="1:8" x14ac:dyDescent="0.2">
      <c r="A11" t="s">
        <v>54</v>
      </c>
      <c r="B11">
        <v>1.35</v>
      </c>
      <c r="C11">
        <v>0.03</v>
      </c>
      <c r="E11" t="s">
        <v>152</v>
      </c>
      <c r="F11">
        <v>2.2599999999999998</v>
      </c>
      <c r="G11">
        <v>0.05</v>
      </c>
    </row>
    <row r="12" spans="1:8" x14ac:dyDescent="0.2">
      <c r="A12" t="s">
        <v>138</v>
      </c>
      <c r="B12" t="s">
        <v>153</v>
      </c>
      <c r="C12" t="s">
        <v>140</v>
      </c>
      <c r="E12" t="s">
        <v>138</v>
      </c>
      <c r="F12" t="s">
        <v>153</v>
      </c>
      <c r="G12" t="s">
        <v>140</v>
      </c>
    </row>
    <row r="13" spans="1:8" x14ac:dyDescent="0.2">
      <c r="A13" t="s">
        <v>64</v>
      </c>
      <c r="B13">
        <v>683</v>
      </c>
      <c r="C13">
        <v>28</v>
      </c>
      <c r="D13">
        <f>B13/10^4</f>
        <v>6.83E-2</v>
      </c>
      <c r="E13" t="s">
        <v>22</v>
      </c>
      <c r="F13">
        <v>48</v>
      </c>
      <c r="G13">
        <v>2</v>
      </c>
      <c r="H13">
        <f t="shared" ref="H13:H22" si="0">F13/10^4</f>
        <v>4.7999999999999996E-3</v>
      </c>
    </row>
    <row r="14" spans="1:8" x14ac:dyDescent="0.2">
      <c r="A14" t="s">
        <v>154</v>
      </c>
      <c r="B14">
        <v>53</v>
      </c>
      <c r="C14">
        <v>2</v>
      </c>
      <c r="D14">
        <f t="shared" ref="D14:D23" si="1">B14/10^4</f>
        <v>5.3E-3</v>
      </c>
      <c r="E14" t="s">
        <v>56</v>
      </c>
      <c r="F14">
        <v>33</v>
      </c>
      <c r="G14">
        <v>2</v>
      </c>
      <c r="H14">
        <f t="shared" si="0"/>
        <v>3.3E-3</v>
      </c>
    </row>
    <row r="15" spans="1:8" x14ac:dyDescent="0.2">
      <c r="A15" t="s">
        <v>44</v>
      </c>
      <c r="B15">
        <v>37</v>
      </c>
      <c r="C15">
        <v>3</v>
      </c>
      <c r="D15">
        <f t="shared" si="1"/>
        <v>3.7000000000000002E-3</v>
      </c>
      <c r="E15" t="s">
        <v>18</v>
      </c>
      <c r="F15">
        <v>346</v>
      </c>
      <c r="G15">
        <v>14</v>
      </c>
      <c r="H15">
        <f t="shared" si="0"/>
        <v>3.4599999999999999E-2</v>
      </c>
    </row>
    <row r="16" spans="1:8" x14ac:dyDescent="0.2">
      <c r="A16" t="s">
        <v>50</v>
      </c>
      <c r="B16">
        <v>18</v>
      </c>
      <c r="C16">
        <v>2</v>
      </c>
      <c r="D16">
        <f t="shared" si="1"/>
        <v>1.8E-3</v>
      </c>
      <c r="E16" t="s">
        <v>24</v>
      </c>
      <c r="F16">
        <v>6.2</v>
      </c>
      <c r="G16">
        <v>0.7</v>
      </c>
      <c r="H16">
        <f t="shared" si="0"/>
        <v>6.2E-4</v>
      </c>
    </row>
    <row r="17" spans="1:8" x14ac:dyDescent="0.2">
      <c r="A17" t="s">
        <v>155</v>
      </c>
      <c r="B17">
        <v>2</v>
      </c>
      <c r="C17">
        <v>0.1</v>
      </c>
      <c r="D17">
        <f t="shared" si="1"/>
        <v>2.0000000000000001E-4</v>
      </c>
      <c r="E17" t="s">
        <v>20</v>
      </c>
      <c r="F17">
        <v>1.69</v>
      </c>
      <c r="G17">
        <v>0.19</v>
      </c>
      <c r="H17">
        <f t="shared" si="0"/>
        <v>1.6899999999999999E-4</v>
      </c>
    </row>
    <row r="18" spans="1:8" x14ac:dyDescent="0.2">
      <c r="A18" t="s">
        <v>156</v>
      </c>
      <c r="B18">
        <v>23</v>
      </c>
      <c r="C18">
        <v>2</v>
      </c>
      <c r="D18">
        <f t="shared" si="1"/>
        <v>2.3E-3</v>
      </c>
      <c r="E18" t="s">
        <v>52</v>
      </c>
      <c r="F18">
        <v>416</v>
      </c>
      <c r="G18">
        <v>14</v>
      </c>
      <c r="H18">
        <f t="shared" si="0"/>
        <v>4.1599999999999998E-2</v>
      </c>
    </row>
    <row r="19" spans="1:8" x14ac:dyDescent="0.2">
      <c r="A19" t="s">
        <v>157</v>
      </c>
      <c r="B19">
        <v>6.8</v>
      </c>
      <c r="C19">
        <v>0.3</v>
      </c>
      <c r="D19">
        <f t="shared" si="1"/>
        <v>6.7999999999999994E-4</v>
      </c>
      <c r="E19" t="s">
        <v>158</v>
      </c>
      <c r="F19">
        <v>37</v>
      </c>
      <c r="G19">
        <v>2</v>
      </c>
      <c r="H19">
        <f t="shared" si="0"/>
        <v>3.7000000000000002E-3</v>
      </c>
    </row>
    <row r="20" spans="1:8" x14ac:dyDescent="0.2">
      <c r="A20" t="s">
        <v>159</v>
      </c>
      <c r="B20">
        <v>25</v>
      </c>
      <c r="C20">
        <v>1</v>
      </c>
      <c r="D20">
        <f t="shared" si="1"/>
        <v>2.5000000000000001E-3</v>
      </c>
      <c r="E20" t="s">
        <v>160</v>
      </c>
      <c r="F20">
        <v>3.5</v>
      </c>
      <c r="G20">
        <v>0.2</v>
      </c>
      <c r="H20">
        <f t="shared" si="0"/>
        <v>3.5E-4</v>
      </c>
    </row>
    <row r="21" spans="1:8" x14ac:dyDescent="0.2">
      <c r="A21" t="s">
        <v>48</v>
      </c>
      <c r="B21">
        <v>1520</v>
      </c>
      <c r="C21">
        <v>60</v>
      </c>
      <c r="D21">
        <f t="shared" si="1"/>
        <v>0.152</v>
      </c>
      <c r="E21" t="s">
        <v>36</v>
      </c>
      <c r="F21">
        <v>127</v>
      </c>
      <c r="G21">
        <v>9</v>
      </c>
      <c r="H21">
        <f t="shared" si="0"/>
        <v>1.2699999999999999E-2</v>
      </c>
    </row>
    <row r="22" spans="1:8" x14ac:dyDescent="0.2">
      <c r="A22" t="s">
        <v>14</v>
      </c>
      <c r="B22">
        <v>248</v>
      </c>
      <c r="C22">
        <v>17</v>
      </c>
      <c r="D22">
        <f t="shared" si="1"/>
        <v>2.4799999999999999E-2</v>
      </c>
      <c r="E22" t="s">
        <v>16</v>
      </c>
      <c r="F22">
        <v>188</v>
      </c>
      <c r="G22">
        <v>16</v>
      </c>
      <c r="H22">
        <f t="shared" si="0"/>
        <v>1.8800000000000001E-2</v>
      </c>
    </row>
    <row r="23" spans="1:8" x14ac:dyDescent="0.2">
      <c r="A23" t="s">
        <v>161</v>
      </c>
      <c r="B23">
        <v>28</v>
      </c>
      <c r="C23">
        <v>2</v>
      </c>
      <c r="D23">
        <f t="shared" si="1"/>
        <v>2.8E-3</v>
      </c>
    </row>
    <row r="24" spans="1:8" x14ac:dyDescent="0.2">
      <c r="A24" t="s">
        <v>162</v>
      </c>
    </row>
    <row r="25" spans="1:8" x14ac:dyDescent="0.2">
      <c r="A25" t="s">
        <v>138</v>
      </c>
      <c r="B25" t="s">
        <v>153</v>
      </c>
      <c r="C25" t="s">
        <v>140</v>
      </c>
      <c r="E25" t="s">
        <v>138</v>
      </c>
      <c r="F25" t="s">
        <v>153</v>
      </c>
      <c r="G25" t="s">
        <v>140</v>
      </c>
    </row>
    <row r="26" spans="1:8" x14ac:dyDescent="0.2">
      <c r="A26" t="s">
        <v>66</v>
      </c>
      <c r="B26">
        <v>1.1000000000000001</v>
      </c>
      <c r="C26">
        <v>0.1</v>
      </c>
      <c r="E26" t="s">
        <v>163</v>
      </c>
      <c r="F26">
        <v>0.51</v>
      </c>
      <c r="G26">
        <v>0.02</v>
      </c>
    </row>
    <row r="27" spans="1:8" x14ac:dyDescent="0.2">
      <c r="A27" t="s">
        <v>40</v>
      </c>
      <c r="B27">
        <v>19</v>
      </c>
      <c r="C27">
        <v>2</v>
      </c>
      <c r="E27" t="s">
        <v>26</v>
      </c>
      <c r="F27">
        <v>11</v>
      </c>
      <c r="G27">
        <v>2</v>
      </c>
    </row>
    <row r="28" spans="1:8" x14ac:dyDescent="0.2">
      <c r="A28" t="s">
        <v>164</v>
      </c>
      <c r="B28">
        <v>440</v>
      </c>
      <c r="E28" t="s">
        <v>165</v>
      </c>
      <c r="F28">
        <v>6.8</v>
      </c>
      <c r="G28">
        <v>0.3</v>
      </c>
    </row>
    <row r="29" spans="1:8" x14ac:dyDescent="0.2">
      <c r="A29" t="s">
        <v>90</v>
      </c>
      <c r="B29">
        <v>4.8</v>
      </c>
      <c r="C29">
        <v>0.2</v>
      </c>
      <c r="E29" t="s">
        <v>166</v>
      </c>
      <c r="F29">
        <v>6.7</v>
      </c>
      <c r="G29">
        <v>0.3</v>
      </c>
    </row>
    <row r="30" spans="1:8" x14ac:dyDescent="0.2">
      <c r="A30" t="s">
        <v>167</v>
      </c>
      <c r="B30">
        <v>1.33</v>
      </c>
      <c r="C30">
        <v>0.06</v>
      </c>
      <c r="E30" t="s">
        <v>168</v>
      </c>
      <c r="F30">
        <v>1.07</v>
      </c>
      <c r="G30">
        <v>0.04</v>
      </c>
    </row>
    <row r="31" spans="1:8" x14ac:dyDescent="0.2">
      <c r="A31" t="s">
        <v>169</v>
      </c>
      <c r="B31">
        <v>9</v>
      </c>
      <c r="C31">
        <v>2</v>
      </c>
      <c r="E31" t="s">
        <v>170</v>
      </c>
      <c r="F31">
        <v>0.54</v>
      </c>
    </row>
    <row r="32" spans="1:8" x14ac:dyDescent="0.2">
      <c r="A32" t="s">
        <v>138</v>
      </c>
      <c r="B32" t="s">
        <v>171</v>
      </c>
      <c r="C32" t="s">
        <v>140</v>
      </c>
      <c r="D32" t="s">
        <v>172</v>
      </c>
    </row>
    <row r="33" spans="1:4" x14ac:dyDescent="0.2">
      <c r="A33" t="s">
        <v>173</v>
      </c>
      <c r="B33">
        <v>18.75</v>
      </c>
      <c r="C33">
        <v>1.0999999999999999E-2</v>
      </c>
      <c r="D33">
        <v>1</v>
      </c>
    </row>
    <row r="34" spans="1:4" x14ac:dyDescent="0.2">
      <c r="A34" t="s">
        <v>174</v>
      </c>
      <c r="B34">
        <v>15.615</v>
      </c>
      <c r="C34">
        <v>3.0000000000000001E-3</v>
      </c>
      <c r="D34">
        <v>1</v>
      </c>
    </row>
    <row r="35" spans="1:4" x14ac:dyDescent="0.2">
      <c r="A35" t="s">
        <v>175</v>
      </c>
      <c r="B35">
        <v>38.691000000000003</v>
      </c>
      <c r="C35">
        <v>2.1000000000000001E-2</v>
      </c>
      <c r="D35">
        <v>1</v>
      </c>
    </row>
  </sheetData>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00"/>
  </sheetPr>
  <dimension ref="A3:J30"/>
  <sheetViews>
    <sheetView topLeftCell="G4" workbookViewId="0">
      <selection activeCell="A29" sqref="A29:A30"/>
    </sheetView>
  </sheetViews>
  <sheetFormatPr baseColWidth="10" defaultColWidth="8.83203125" defaultRowHeight="15" x14ac:dyDescent="0.2"/>
  <cols>
    <col min="2" max="2" width="17.6640625" bestFit="1" customWidth="1"/>
    <col min="5" max="5" width="12.83203125" bestFit="1" customWidth="1"/>
    <col min="6" max="8" width="11" customWidth="1"/>
    <col min="9" max="9" width="17.5" bestFit="1" customWidth="1"/>
  </cols>
  <sheetData>
    <row r="3" spans="1:10" x14ac:dyDescent="0.2">
      <c r="A3" t="s">
        <v>253</v>
      </c>
      <c r="B3" t="s">
        <v>315</v>
      </c>
      <c r="C3" t="s">
        <v>314</v>
      </c>
      <c r="D3" t="s">
        <v>140</v>
      </c>
      <c r="E3" t="s">
        <v>252</v>
      </c>
      <c r="F3" t="s">
        <v>258</v>
      </c>
      <c r="G3" t="s">
        <v>103</v>
      </c>
      <c r="H3" t="s">
        <v>272</v>
      </c>
      <c r="I3" t="s">
        <v>257</v>
      </c>
    </row>
    <row r="4" spans="1:10" x14ac:dyDescent="0.2">
      <c r="A4" t="s">
        <v>260</v>
      </c>
      <c r="B4" t="s">
        <v>64</v>
      </c>
      <c r="C4">
        <v>683</v>
      </c>
      <c r="D4">
        <v>28</v>
      </c>
      <c r="E4">
        <f t="shared" ref="E4:E22" si="0">C4/10^4</f>
        <v>6.83E-2</v>
      </c>
      <c r="F4" t="s">
        <v>106</v>
      </c>
      <c r="G4">
        <v>930.47</v>
      </c>
      <c r="H4">
        <v>46.75</v>
      </c>
      <c r="I4" s="20">
        <f>G4/10^4</f>
        <v>9.3047000000000005E-2</v>
      </c>
      <c r="J4" s="15">
        <f>1-E4/I4</f>
        <v>0.26596236310681698</v>
      </c>
    </row>
    <row r="5" spans="1:10" x14ac:dyDescent="0.2">
      <c r="A5" t="s">
        <v>260</v>
      </c>
      <c r="B5" t="s">
        <v>64</v>
      </c>
      <c r="C5">
        <v>683</v>
      </c>
      <c r="D5">
        <v>28</v>
      </c>
      <c r="E5">
        <f t="shared" si="0"/>
        <v>6.83E-2</v>
      </c>
      <c r="F5" t="s">
        <v>108</v>
      </c>
      <c r="G5">
        <v>975.4</v>
      </c>
      <c r="H5">
        <v>49.17</v>
      </c>
      <c r="I5" s="20">
        <f t="shared" ref="I5:I21" si="1">G5/10^4</f>
        <v>9.7540000000000002E-2</v>
      </c>
      <c r="J5" s="15">
        <f t="shared" ref="J5:J21" si="2">1-E5/I5</f>
        <v>0.29977445150707405</v>
      </c>
    </row>
    <row r="6" spans="1:10" x14ac:dyDescent="0.2">
      <c r="A6" t="s">
        <v>260</v>
      </c>
      <c r="B6" t="s">
        <v>64</v>
      </c>
      <c r="C6">
        <v>683</v>
      </c>
      <c r="D6">
        <v>28</v>
      </c>
      <c r="E6">
        <f t="shared" si="0"/>
        <v>6.83E-2</v>
      </c>
      <c r="F6" t="s">
        <v>109</v>
      </c>
      <c r="G6">
        <v>873.66</v>
      </c>
      <c r="H6">
        <v>46.53</v>
      </c>
      <c r="I6" s="20">
        <f t="shared" si="1"/>
        <v>8.7365999999999999E-2</v>
      </c>
      <c r="J6" s="15">
        <f t="shared" si="2"/>
        <v>0.21823134857953896</v>
      </c>
    </row>
    <row r="7" spans="1:10" x14ac:dyDescent="0.2">
      <c r="A7" t="s">
        <v>259</v>
      </c>
      <c r="B7" t="s">
        <v>64</v>
      </c>
      <c r="C7">
        <v>1340</v>
      </c>
      <c r="D7">
        <v>44</v>
      </c>
      <c r="E7">
        <f t="shared" si="0"/>
        <v>0.13400000000000001</v>
      </c>
      <c r="F7" t="s">
        <v>110</v>
      </c>
      <c r="G7">
        <v>671.58</v>
      </c>
      <c r="H7">
        <v>41.8</v>
      </c>
      <c r="I7" s="20">
        <f t="shared" si="1"/>
        <v>6.7158000000000009E-2</v>
      </c>
      <c r="J7" s="15">
        <f t="shared" si="2"/>
        <v>-0.9952946782215073</v>
      </c>
    </row>
    <row r="8" spans="1:10" x14ac:dyDescent="0.2">
      <c r="A8" t="s">
        <v>259</v>
      </c>
      <c r="B8" t="s">
        <v>64</v>
      </c>
      <c r="C8">
        <v>1340</v>
      </c>
      <c r="D8">
        <v>44</v>
      </c>
      <c r="E8">
        <f t="shared" si="0"/>
        <v>0.13400000000000001</v>
      </c>
      <c r="F8" t="s">
        <v>111</v>
      </c>
      <c r="G8">
        <v>666.27</v>
      </c>
      <c r="H8">
        <v>40.869999999999997</v>
      </c>
      <c r="I8" s="20">
        <f t="shared" si="1"/>
        <v>6.6626999999999992E-2</v>
      </c>
      <c r="J8" s="15">
        <f t="shared" si="2"/>
        <v>-1.0111966620138988</v>
      </c>
    </row>
    <row r="9" spans="1:10" x14ac:dyDescent="0.2">
      <c r="A9" t="s">
        <v>259</v>
      </c>
      <c r="B9" t="s">
        <v>64</v>
      </c>
      <c r="C9">
        <v>1340</v>
      </c>
      <c r="D9">
        <v>44</v>
      </c>
      <c r="E9">
        <f t="shared" si="0"/>
        <v>0.13400000000000001</v>
      </c>
      <c r="F9" t="s">
        <v>112</v>
      </c>
      <c r="G9">
        <v>680.03</v>
      </c>
      <c r="H9">
        <v>40.520000000000003</v>
      </c>
      <c r="I9" s="20">
        <f t="shared" si="1"/>
        <v>6.8002999999999994E-2</v>
      </c>
      <c r="J9" s="15">
        <f t="shared" si="2"/>
        <v>-0.97050130141317315</v>
      </c>
    </row>
    <row r="10" spans="1:10" x14ac:dyDescent="0.2">
      <c r="A10" t="s">
        <v>113</v>
      </c>
      <c r="B10" t="s">
        <v>64</v>
      </c>
      <c r="C10">
        <v>1140</v>
      </c>
      <c r="D10">
        <v>32</v>
      </c>
      <c r="E10">
        <f t="shared" si="0"/>
        <v>0.114</v>
      </c>
      <c r="F10" t="s">
        <v>113</v>
      </c>
      <c r="G10">
        <v>867.39</v>
      </c>
      <c r="H10">
        <v>38.81</v>
      </c>
      <c r="I10" s="20">
        <f t="shared" si="1"/>
        <v>8.6738999999999997E-2</v>
      </c>
      <c r="J10" s="15">
        <f t="shared" si="2"/>
        <v>-0.31428769065818152</v>
      </c>
    </row>
    <row r="11" spans="1:10" x14ac:dyDescent="0.2">
      <c r="A11" t="s">
        <v>113</v>
      </c>
      <c r="B11" t="s">
        <v>64</v>
      </c>
      <c r="C11">
        <v>1140</v>
      </c>
      <c r="D11">
        <v>32</v>
      </c>
      <c r="E11">
        <f t="shared" si="0"/>
        <v>0.114</v>
      </c>
      <c r="F11" t="s">
        <v>114</v>
      </c>
      <c r="G11">
        <v>875.83</v>
      </c>
      <c r="H11">
        <v>40.630000000000003</v>
      </c>
      <c r="I11" s="20">
        <f t="shared" si="1"/>
        <v>8.7583000000000008E-2</v>
      </c>
      <c r="J11" s="15">
        <f t="shared" si="2"/>
        <v>-0.30162246097987055</v>
      </c>
    </row>
    <row r="12" spans="1:10" x14ac:dyDescent="0.2">
      <c r="A12" t="s">
        <v>113</v>
      </c>
      <c r="B12" t="s">
        <v>64</v>
      </c>
      <c r="C12">
        <v>1140</v>
      </c>
      <c r="D12">
        <v>32</v>
      </c>
      <c r="E12">
        <f t="shared" si="0"/>
        <v>0.114</v>
      </c>
      <c r="F12" t="s">
        <v>115</v>
      </c>
      <c r="G12">
        <v>885.01</v>
      </c>
      <c r="H12">
        <v>39.74</v>
      </c>
      <c r="I12" s="20">
        <f t="shared" si="1"/>
        <v>8.8500999999999996E-2</v>
      </c>
      <c r="J12" s="15">
        <f t="shared" si="2"/>
        <v>-0.28812103818035961</v>
      </c>
    </row>
    <row r="13" spans="1:10" x14ac:dyDescent="0.2">
      <c r="A13" t="s">
        <v>256</v>
      </c>
      <c r="B13" t="s">
        <v>64</v>
      </c>
      <c r="C13">
        <v>3350</v>
      </c>
      <c r="D13">
        <v>28</v>
      </c>
      <c r="E13">
        <f t="shared" si="0"/>
        <v>0.33500000000000002</v>
      </c>
      <c r="F13" t="s">
        <v>116</v>
      </c>
      <c r="G13">
        <v>3318.74</v>
      </c>
      <c r="H13">
        <v>92.92</v>
      </c>
      <c r="I13" s="20">
        <f t="shared" si="1"/>
        <v>0.331874</v>
      </c>
      <c r="J13" s="15">
        <f t="shared" si="2"/>
        <v>-9.4192374214310259E-3</v>
      </c>
    </row>
    <row r="14" spans="1:10" x14ac:dyDescent="0.2">
      <c r="A14" t="s">
        <v>256</v>
      </c>
      <c r="B14" t="s">
        <v>64</v>
      </c>
      <c r="C14">
        <v>3350</v>
      </c>
      <c r="D14">
        <v>28</v>
      </c>
      <c r="E14">
        <f t="shared" si="0"/>
        <v>0.33500000000000002</v>
      </c>
      <c r="F14" t="s">
        <v>117</v>
      </c>
      <c r="G14">
        <v>3345.72</v>
      </c>
      <c r="H14">
        <v>91.68</v>
      </c>
      <c r="I14" s="20">
        <f t="shared" si="1"/>
        <v>0.33457199999999998</v>
      </c>
      <c r="J14" s="15">
        <f t="shared" si="2"/>
        <v>-1.2792463206725557E-3</v>
      </c>
    </row>
    <row r="15" spans="1:10" x14ac:dyDescent="0.2">
      <c r="A15" t="s">
        <v>256</v>
      </c>
      <c r="B15" t="s">
        <v>64</v>
      </c>
      <c r="C15">
        <v>3350</v>
      </c>
      <c r="D15">
        <v>28</v>
      </c>
      <c r="E15">
        <f t="shared" si="0"/>
        <v>0.33500000000000002</v>
      </c>
      <c r="F15" t="s">
        <v>118</v>
      </c>
      <c r="G15">
        <v>2127.5700000000002</v>
      </c>
      <c r="H15">
        <v>70.489999999999995</v>
      </c>
      <c r="I15" s="20">
        <f t="shared" si="1"/>
        <v>0.21275700000000003</v>
      </c>
      <c r="J15" s="15">
        <f t="shared" si="2"/>
        <v>-0.57456628924077702</v>
      </c>
    </row>
    <row r="16" spans="1:10" x14ac:dyDescent="0.2">
      <c r="A16" t="s">
        <v>255</v>
      </c>
      <c r="B16" t="s">
        <v>64</v>
      </c>
      <c r="C16">
        <v>788</v>
      </c>
      <c r="D16">
        <v>7.7</v>
      </c>
      <c r="E16">
        <f t="shared" si="0"/>
        <v>7.8799999999999995E-2</v>
      </c>
      <c r="F16" t="s">
        <v>119</v>
      </c>
      <c r="G16">
        <v>669.04</v>
      </c>
      <c r="H16">
        <v>38.49</v>
      </c>
      <c r="I16" s="20">
        <f t="shared" si="1"/>
        <v>6.6903999999999991E-2</v>
      </c>
      <c r="J16" s="15">
        <f t="shared" si="2"/>
        <v>-0.17780700705488472</v>
      </c>
    </row>
    <row r="17" spans="1:10" x14ac:dyDescent="0.2">
      <c r="A17" t="s">
        <v>255</v>
      </c>
      <c r="B17" t="s">
        <v>64</v>
      </c>
      <c r="C17">
        <v>788</v>
      </c>
      <c r="D17">
        <v>7.7</v>
      </c>
      <c r="E17">
        <f t="shared" si="0"/>
        <v>7.8799999999999995E-2</v>
      </c>
      <c r="F17" t="s">
        <v>120</v>
      </c>
      <c r="G17">
        <v>659.23</v>
      </c>
      <c r="H17">
        <v>38.25</v>
      </c>
      <c r="I17" s="20">
        <f t="shared" si="1"/>
        <v>6.5922999999999995E-2</v>
      </c>
      <c r="J17" s="15">
        <f t="shared" si="2"/>
        <v>-0.19533395021464428</v>
      </c>
    </row>
    <row r="18" spans="1:10" x14ac:dyDescent="0.2">
      <c r="A18" t="s">
        <v>255</v>
      </c>
      <c r="B18" t="s">
        <v>64</v>
      </c>
      <c r="C18">
        <v>788</v>
      </c>
      <c r="D18">
        <v>7.7</v>
      </c>
      <c r="E18">
        <f t="shared" si="0"/>
        <v>7.8799999999999995E-2</v>
      </c>
      <c r="F18" t="s">
        <v>121</v>
      </c>
      <c r="G18">
        <v>721.81</v>
      </c>
      <c r="H18">
        <v>39.33</v>
      </c>
      <c r="I18" s="20">
        <f t="shared" si="1"/>
        <v>7.2180999999999995E-2</v>
      </c>
      <c r="J18" s="15">
        <f t="shared" si="2"/>
        <v>-9.1700031864341058E-2</v>
      </c>
    </row>
    <row r="19" spans="1:10" x14ac:dyDescent="0.2">
      <c r="A19" t="s">
        <v>254</v>
      </c>
      <c r="B19" t="s">
        <v>64</v>
      </c>
      <c r="C19">
        <v>630</v>
      </c>
      <c r="D19">
        <v>60</v>
      </c>
      <c r="E19">
        <f t="shared" si="0"/>
        <v>6.3E-2</v>
      </c>
      <c r="F19" t="s">
        <v>122</v>
      </c>
      <c r="G19">
        <v>471.28</v>
      </c>
      <c r="H19">
        <v>35.19</v>
      </c>
      <c r="I19" s="20">
        <f t="shared" si="1"/>
        <v>4.7127999999999996E-2</v>
      </c>
      <c r="J19" s="15">
        <f t="shared" si="2"/>
        <v>-0.33678492615854716</v>
      </c>
    </row>
    <row r="20" spans="1:10" x14ac:dyDescent="0.2">
      <c r="A20" t="s">
        <v>254</v>
      </c>
      <c r="B20" t="s">
        <v>64</v>
      </c>
      <c r="C20">
        <v>630</v>
      </c>
      <c r="D20">
        <v>60</v>
      </c>
      <c r="E20">
        <f t="shared" si="0"/>
        <v>6.3E-2</v>
      </c>
      <c r="F20" t="s">
        <v>123</v>
      </c>
      <c r="G20">
        <v>501.88</v>
      </c>
      <c r="H20">
        <v>35.26</v>
      </c>
      <c r="I20" s="20">
        <f t="shared" si="1"/>
        <v>5.0187999999999997E-2</v>
      </c>
      <c r="J20" s="15">
        <f t="shared" si="2"/>
        <v>-0.25528014664860144</v>
      </c>
    </row>
    <row r="21" spans="1:10" x14ac:dyDescent="0.2">
      <c r="A21" t="s">
        <v>254</v>
      </c>
      <c r="B21" t="s">
        <v>64</v>
      </c>
      <c r="C21">
        <v>630</v>
      </c>
      <c r="D21">
        <v>60</v>
      </c>
      <c r="E21">
        <f t="shared" si="0"/>
        <v>6.3E-2</v>
      </c>
      <c r="F21" t="s">
        <v>124</v>
      </c>
      <c r="G21">
        <v>549.5</v>
      </c>
      <c r="H21">
        <v>35.94</v>
      </c>
      <c r="I21" s="20">
        <f t="shared" si="1"/>
        <v>5.4949999999999999E-2</v>
      </c>
      <c r="J21" s="15">
        <f t="shared" si="2"/>
        <v>-0.14649681528662417</v>
      </c>
    </row>
    <row r="22" spans="1:10" x14ac:dyDescent="0.2">
      <c r="A22" t="s">
        <v>313</v>
      </c>
      <c r="B22" t="s">
        <v>64</v>
      </c>
      <c r="C22">
        <v>801</v>
      </c>
      <c r="D22">
        <v>28</v>
      </c>
      <c r="E22">
        <f t="shared" si="0"/>
        <v>8.0100000000000005E-2</v>
      </c>
      <c r="F22" t="s">
        <v>131</v>
      </c>
      <c r="G22">
        <v>788.9</v>
      </c>
      <c r="H22">
        <v>36.4</v>
      </c>
      <c r="I22" s="20">
        <f>G22/10^4</f>
        <v>7.8890000000000002E-2</v>
      </c>
      <c r="J22" s="15">
        <f>1-E22/I22</f>
        <v>-1.5337812143491059E-2</v>
      </c>
    </row>
    <row r="23" spans="1:10" x14ac:dyDescent="0.2">
      <c r="A23" t="s">
        <v>313</v>
      </c>
      <c r="B23" t="s">
        <v>64</v>
      </c>
      <c r="C23">
        <v>801</v>
      </c>
      <c r="D23">
        <v>28</v>
      </c>
      <c r="E23">
        <f t="shared" ref="E23:E30" si="3">C23/10^4</f>
        <v>8.0100000000000005E-2</v>
      </c>
      <c r="F23" t="s">
        <v>132</v>
      </c>
      <c r="G23">
        <v>778.53</v>
      </c>
      <c r="H23">
        <v>36.26</v>
      </c>
      <c r="I23" s="20">
        <f>G23/10^4</f>
        <v>7.7852999999999992E-2</v>
      </c>
      <c r="J23" s="15">
        <f>1-E23/I23</f>
        <v>-2.8862086239451523E-2</v>
      </c>
    </row>
    <row r="24" spans="1:10" x14ac:dyDescent="0.2">
      <c r="A24" t="s">
        <v>313</v>
      </c>
      <c r="B24" t="s">
        <v>64</v>
      </c>
      <c r="C24">
        <v>801</v>
      </c>
      <c r="D24">
        <v>28</v>
      </c>
      <c r="E24">
        <f t="shared" si="3"/>
        <v>8.0100000000000005E-2</v>
      </c>
      <c r="F24" t="s">
        <v>133</v>
      </c>
      <c r="G24">
        <v>769.85</v>
      </c>
      <c r="H24">
        <v>37.01</v>
      </c>
      <c r="I24" s="20">
        <f>G24/10^4</f>
        <v>7.6984999999999998E-2</v>
      </c>
      <c r="J24" s="15">
        <f>1-E24/I24</f>
        <v>-4.0462427745664886E-2</v>
      </c>
    </row>
    <row r="25" spans="1:10" x14ac:dyDescent="0.2">
      <c r="A25" t="s">
        <v>329</v>
      </c>
      <c r="B25" t="s">
        <v>64</v>
      </c>
      <c r="C25">
        <v>395</v>
      </c>
      <c r="E25">
        <f t="shared" si="3"/>
        <v>3.95E-2</v>
      </c>
      <c r="F25" t="s">
        <v>134</v>
      </c>
      <c r="G25">
        <v>381.51</v>
      </c>
      <c r="H25">
        <v>33.86</v>
      </c>
      <c r="I25" s="20">
        <f t="shared" ref="I25:I30" si="4">G25/10^4</f>
        <v>3.8150999999999997E-2</v>
      </c>
      <c r="J25" s="15">
        <f t="shared" ref="J25:J30" si="5">1-E25/I25</f>
        <v>-3.5359492542790472E-2</v>
      </c>
    </row>
    <row r="26" spans="1:10" x14ac:dyDescent="0.2">
      <c r="A26" t="s">
        <v>329</v>
      </c>
      <c r="B26" t="s">
        <v>64</v>
      </c>
      <c r="C26">
        <v>395</v>
      </c>
      <c r="E26">
        <f t="shared" si="3"/>
        <v>3.95E-2</v>
      </c>
      <c r="F26" t="s">
        <v>136</v>
      </c>
      <c r="G26">
        <v>403.27</v>
      </c>
      <c r="H26">
        <v>33.5</v>
      </c>
      <c r="I26" s="20">
        <f t="shared" si="4"/>
        <v>4.0326999999999995E-2</v>
      </c>
      <c r="J26" s="15">
        <f t="shared" si="5"/>
        <v>2.0507352394177447E-2</v>
      </c>
    </row>
    <row r="27" spans="1:10" x14ac:dyDescent="0.2">
      <c r="A27" t="s">
        <v>329</v>
      </c>
      <c r="B27" t="s">
        <v>64</v>
      </c>
      <c r="C27">
        <v>395</v>
      </c>
      <c r="E27">
        <f t="shared" si="3"/>
        <v>3.95E-2</v>
      </c>
      <c r="F27" t="s">
        <v>137</v>
      </c>
      <c r="G27">
        <v>422.48</v>
      </c>
      <c r="H27">
        <v>33.68</v>
      </c>
      <c r="I27" s="20">
        <f t="shared" si="4"/>
        <v>4.2248000000000001E-2</v>
      </c>
      <c r="J27" s="15">
        <f t="shared" si="5"/>
        <v>6.5044499147888679E-2</v>
      </c>
    </row>
    <row r="28" spans="1:10" x14ac:dyDescent="0.2">
      <c r="A28" t="s">
        <v>210</v>
      </c>
      <c r="B28" t="s">
        <v>64</v>
      </c>
      <c r="C28">
        <v>979</v>
      </c>
      <c r="D28">
        <v>28</v>
      </c>
      <c r="E28">
        <f t="shared" si="3"/>
        <v>9.7900000000000001E-2</v>
      </c>
      <c r="F28" t="s">
        <v>262</v>
      </c>
      <c r="G28">
        <v>795.66</v>
      </c>
      <c r="H28">
        <v>34.950000000000003</v>
      </c>
      <c r="I28" s="20">
        <f t="shared" si="4"/>
        <v>7.9565999999999998E-2</v>
      </c>
      <c r="J28" s="15">
        <f t="shared" si="5"/>
        <v>-0.23042505592841178</v>
      </c>
    </row>
    <row r="29" spans="1:10" x14ac:dyDescent="0.2">
      <c r="A29" t="s">
        <v>210</v>
      </c>
      <c r="B29" t="s">
        <v>64</v>
      </c>
      <c r="C29">
        <v>979</v>
      </c>
      <c r="D29">
        <v>28</v>
      </c>
      <c r="E29">
        <f t="shared" si="3"/>
        <v>9.7900000000000001E-2</v>
      </c>
      <c r="F29" t="s">
        <v>263</v>
      </c>
      <c r="G29">
        <v>790.7</v>
      </c>
      <c r="H29">
        <v>36.270000000000003</v>
      </c>
      <c r="I29" s="20">
        <f t="shared" si="4"/>
        <v>7.9070000000000001E-2</v>
      </c>
      <c r="J29" s="15">
        <f t="shared" si="5"/>
        <v>-0.23814341722524346</v>
      </c>
    </row>
    <row r="30" spans="1:10" x14ac:dyDescent="0.2">
      <c r="A30" t="s">
        <v>210</v>
      </c>
      <c r="B30" t="s">
        <v>64</v>
      </c>
      <c r="C30">
        <v>979</v>
      </c>
      <c r="D30">
        <v>28</v>
      </c>
      <c r="E30">
        <f t="shared" si="3"/>
        <v>9.7900000000000001E-2</v>
      </c>
      <c r="F30" t="s">
        <v>264</v>
      </c>
      <c r="G30">
        <v>799.14</v>
      </c>
      <c r="H30">
        <v>34.99</v>
      </c>
      <c r="I30" s="20">
        <f t="shared" si="4"/>
        <v>7.9913999999999999E-2</v>
      </c>
      <c r="J30" s="15">
        <f t="shared" si="5"/>
        <v>-0.22506694696799068</v>
      </c>
    </row>
  </sheetData>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FF00"/>
  </sheetPr>
  <dimension ref="A3:J30"/>
  <sheetViews>
    <sheetView topLeftCell="K1" workbookViewId="0">
      <selection activeCell="A29" sqref="A29:D30"/>
    </sheetView>
  </sheetViews>
  <sheetFormatPr baseColWidth="10" defaultColWidth="8.83203125" defaultRowHeight="15" x14ac:dyDescent="0.2"/>
  <cols>
    <col min="2" max="2" width="17.6640625" bestFit="1" customWidth="1"/>
    <col min="5" max="5" width="12.83203125" bestFit="1" customWidth="1"/>
    <col min="6" max="8" width="11" customWidth="1"/>
    <col min="9" max="9" width="17.5" bestFit="1" customWidth="1"/>
  </cols>
  <sheetData>
    <row r="3" spans="1:10" x14ac:dyDescent="0.2">
      <c r="A3" t="s">
        <v>253</v>
      </c>
      <c r="B3" t="s">
        <v>315</v>
      </c>
      <c r="C3" t="s">
        <v>314</v>
      </c>
      <c r="D3" t="s">
        <v>140</v>
      </c>
      <c r="E3" t="s">
        <v>252</v>
      </c>
      <c r="F3" t="s">
        <v>258</v>
      </c>
      <c r="G3" t="s">
        <v>103</v>
      </c>
      <c r="H3" t="s">
        <v>272</v>
      </c>
      <c r="I3" t="s">
        <v>257</v>
      </c>
    </row>
    <row r="4" spans="1:10" x14ac:dyDescent="0.2">
      <c r="A4" t="s">
        <v>260</v>
      </c>
      <c r="B4" t="s">
        <v>18</v>
      </c>
      <c r="C4">
        <v>346</v>
      </c>
      <c r="D4">
        <v>14</v>
      </c>
      <c r="E4">
        <f t="shared" ref="E4:E22" si="0">C4/10^4</f>
        <v>3.4599999999999999E-2</v>
      </c>
      <c r="F4" t="s">
        <v>106</v>
      </c>
      <c r="G4">
        <v>324.02</v>
      </c>
      <c r="H4">
        <v>7.42</v>
      </c>
      <c r="I4" s="20">
        <f>G4/10^4</f>
        <v>3.2402E-2</v>
      </c>
      <c r="J4" s="15">
        <f>1-E4/I4</f>
        <v>-6.7835318807480949E-2</v>
      </c>
    </row>
    <row r="5" spans="1:10" x14ac:dyDescent="0.2">
      <c r="A5" t="s">
        <v>260</v>
      </c>
      <c r="B5" t="s">
        <v>18</v>
      </c>
      <c r="C5">
        <v>346</v>
      </c>
      <c r="D5">
        <v>14</v>
      </c>
      <c r="E5">
        <f t="shared" si="0"/>
        <v>3.4599999999999999E-2</v>
      </c>
      <c r="F5" t="s">
        <v>108</v>
      </c>
      <c r="G5">
        <v>321.82</v>
      </c>
      <c r="H5">
        <v>6.48</v>
      </c>
      <c r="I5" s="20">
        <f t="shared" ref="I5:I30" si="1">G5/10^4</f>
        <v>3.2182000000000002E-2</v>
      </c>
      <c r="J5" s="15">
        <f t="shared" ref="J5:J30" si="2">1-E5/I5</f>
        <v>-7.513516872786008E-2</v>
      </c>
    </row>
    <row r="6" spans="1:10" x14ac:dyDescent="0.2">
      <c r="A6" t="s">
        <v>260</v>
      </c>
      <c r="B6" t="s">
        <v>18</v>
      </c>
      <c r="C6">
        <v>346</v>
      </c>
      <c r="D6">
        <v>14</v>
      </c>
      <c r="E6">
        <f t="shared" si="0"/>
        <v>3.4599999999999999E-2</v>
      </c>
      <c r="F6" t="s">
        <v>109</v>
      </c>
      <c r="G6">
        <v>327.04000000000002</v>
      </c>
      <c r="H6">
        <v>6.6</v>
      </c>
      <c r="I6" s="20">
        <f t="shared" si="1"/>
        <v>3.2704000000000004E-2</v>
      </c>
      <c r="J6" s="15">
        <f t="shared" si="2"/>
        <v>-5.7974559686888361E-2</v>
      </c>
    </row>
    <row r="7" spans="1:10" x14ac:dyDescent="0.2">
      <c r="A7" t="s">
        <v>259</v>
      </c>
      <c r="B7" t="s">
        <v>18</v>
      </c>
      <c r="C7">
        <v>240</v>
      </c>
      <c r="D7">
        <v>10</v>
      </c>
      <c r="E7">
        <f t="shared" si="0"/>
        <v>2.4E-2</v>
      </c>
      <c r="F7" t="s">
        <v>110</v>
      </c>
      <c r="G7">
        <v>231.35</v>
      </c>
      <c r="H7">
        <v>4.97</v>
      </c>
      <c r="I7" s="20">
        <f t="shared" si="1"/>
        <v>2.3134999999999999E-2</v>
      </c>
      <c r="J7" s="15">
        <f t="shared" si="2"/>
        <v>-3.7389237086665306E-2</v>
      </c>
    </row>
    <row r="8" spans="1:10" x14ac:dyDescent="0.2">
      <c r="A8" t="s">
        <v>259</v>
      </c>
      <c r="B8" t="s">
        <v>18</v>
      </c>
      <c r="C8">
        <v>240</v>
      </c>
      <c r="D8">
        <v>10</v>
      </c>
      <c r="E8">
        <f t="shared" si="0"/>
        <v>2.4E-2</v>
      </c>
      <c r="F8" t="s">
        <v>111</v>
      </c>
      <c r="G8">
        <v>232.62</v>
      </c>
      <c r="H8">
        <v>4.99</v>
      </c>
      <c r="I8" s="20">
        <f t="shared" si="1"/>
        <v>2.3262000000000001E-2</v>
      </c>
      <c r="J8" s="15">
        <f t="shared" si="2"/>
        <v>-3.1725561000773839E-2</v>
      </c>
    </row>
    <row r="9" spans="1:10" x14ac:dyDescent="0.2">
      <c r="A9" t="s">
        <v>259</v>
      </c>
      <c r="B9" t="s">
        <v>18</v>
      </c>
      <c r="C9">
        <v>240</v>
      </c>
      <c r="D9">
        <v>10</v>
      </c>
      <c r="E9">
        <f t="shared" si="0"/>
        <v>2.4E-2</v>
      </c>
      <c r="F9" t="s">
        <v>112</v>
      </c>
      <c r="G9">
        <v>230.88</v>
      </c>
      <c r="H9">
        <v>4.7699999999999996</v>
      </c>
      <c r="I9" s="20">
        <f t="shared" si="1"/>
        <v>2.3088000000000001E-2</v>
      </c>
      <c r="J9" s="15">
        <f t="shared" si="2"/>
        <v>-3.9501039501039559E-2</v>
      </c>
    </row>
    <row r="10" spans="1:10" x14ac:dyDescent="0.2">
      <c r="A10" t="s">
        <v>113</v>
      </c>
      <c r="B10" t="s">
        <v>18</v>
      </c>
      <c r="C10">
        <v>658</v>
      </c>
      <c r="D10">
        <v>17</v>
      </c>
      <c r="E10">
        <f t="shared" si="0"/>
        <v>6.5799999999999997E-2</v>
      </c>
      <c r="F10" t="s">
        <v>113</v>
      </c>
      <c r="G10">
        <v>622.75</v>
      </c>
      <c r="H10">
        <v>8.09</v>
      </c>
      <c r="I10" s="20">
        <f t="shared" si="1"/>
        <v>6.2274999999999997E-2</v>
      </c>
      <c r="J10" s="15">
        <f t="shared" si="2"/>
        <v>-5.6603773584905648E-2</v>
      </c>
    </row>
    <row r="11" spans="1:10" x14ac:dyDescent="0.2">
      <c r="A11" t="s">
        <v>113</v>
      </c>
      <c r="B11" t="s">
        <v>18</v>
      </c>
      <c r="C11">
        <v>658</v>
      </c>
      <c r="D11">
        <v>17</v>
      </c>
      <c r="E11">
        <f t="shared" si="0"/>
        <v>6.5799999999999997E-2</v>
      </c>
      <c r="F11" t="s">
        <v>114</v>
      </c>
      <c r="G11">
        <v>612.97</v>
      </c>
      <c r="H11">
        <v>7.97</v>
      </c>
      <c r="I11" s="20">
        <f t="shared" si="1"/>
        <v>6.1297000000000004E-2</v>
      </c>
      <c r="J11" s="15">
        <f t="shared" si="2"/>
        <v>-7.3461996508801253E-2</v>
      </c>
    </row>
    <row r="12" spans="1:10" x14ac:dyDescent="0.2">
      <c r="A12" t="s">
        <v>113</v>
      </c>
      <c r="B12" t="s">
        <v>18</v>
      </c>
      <c r="C12">
        <v>658</v>
      </c>
      <c r="D12">
        <v>17</v>
      </c>
      <c r="E12">
        <f t="shared" si="0"/>
        <v>6.5799999999999997E-2</v>
      </c>
      <c r="F12" t="s">
        <v>115</v>
      </c>
      <c r="G12">
        <v>619.11</v>
      </c>
      <c r="H12">
        <v>8.52</v>
      </c>
      <c r="I12" s="20">
        <f t="shared" si="1"/>
        <v>6.1911000000000001E-2</v>
      </c>
      <c r="J12" s="15">
        <f t="shared" si="2"/>
        <v>-6.2815977774547171E-2</v>
      </c>
    </row>
    <row r="13" spans="1:10" x14ac:dyDescent="0.2">
      <c r="A13" s="22" t="s">
        <v>256</v>
      </c>
      <c r="B13" s="22" t="s">
        <v>18</v>
      </c>
      <c r="C13" s="22">
        <v>680</v>
      </c>
      <c r="D13" s="22">
        <v>3</v>
      </c>
      <c r="E13" s="22">
        <f t="shared" si="0"/>
        <v>6.8000000000000005E-2</v>
      </c>
      <c r="F13" s="22" t="s">
        <v>116</v>
      </c>
      <c r="G13" s="22">
        <v>399.16</v>
      </c>
      <c r="H13" s="22">
        <v>10.85</v>
      </c>
      <c r="I13" s="23">
        <f t="shared" si="1"/>
        <v>3.9916E-2</v>
      </c>
      <c r="J13" s="24">
        <f t="shared" si="2"/>
        <v>-0.70357751277683156</v>
      </c>
    </row>
    <row r="14" spans="1:10" x14ac:dyDescent="0.2">
      <c r="A14" s="22" t="s">
        <v>256</v>
      </c>
      <c r="B14" s="22" t="s">
        <v>18</v>
      </c>
      <c r="C14" s="22">
        <v>680</v>
      </c>
      <c r="D14" s="22">
        <v>3</v>
      </c>
      <c r="E14" s="22">
        <f t="shared" si="0"/>
        <v>6.8000000000000005E-2</v>
      </c>
      <c r="F14" s="22" t="s">
        <v>117</v>
      </c>
      <c r="G14" s="22">
        <v>395.28</v>
      </c>
      <c r="H14" s="22">
        <v>10.72</v>
      </c>
      <c r="I14" s="23">
        <f t="shared" si="1"/>
        <v>3.9528000000000001E-2</v>
      </c>
      <c r="J14" s="24">
        <f t="shared" si="2"/>
        <v>-0.72029953450718498</v>
      </c>
    </row>
    <row r="15" spans="1:10" x14ac:dyDescent="0.2">
      <c r="A15" s="22" t="s">
        <v>256</v>
      </c>
      <c r="B15" s="22" t="s">
        <v>18</v>
      </c>
      <c r="C15" s="22">
        <v>680</v>
      </c>
      <c r="D15" s="22">
        <v>3</v>
      </c>
      <c r="E15" s="22">
        <f t="shared" si="0"/>
        <v>6.8000000000000005E-2</v>
      </c>
      <c r="F15" s="22" t="s">
        <v>118</v>
      </c>
      <c r="G15" s="22">
        <v>348.24</v>
      </c>
      <c r="H15" s="22">
        <v>9.58</v>
      </c>
      <c r="I15" s="23">
        <f t="shared" si="1"/>
        <v>3.4824000000000001E-2</v>
      </c>
      <c r="J15" s="24">
        <f t="shared" si="2"/>
        <v>-0.95267631518493001</v>
      </c>
    </row>
    <row r="16" spans="1:10" x14ac:dyDescent="0.2">
      <c r="A16" t="s">
        <v>255</v>
      </c>
      <c r="B16" t="s">
        <v>18</v>
      </c>
      <c r="C16">
        <v>178</v>
      </c>
      <c r="D16">
        <v>1.4</v>
      </c>
      <c r="E16">
        <f t="shared" si="0"/>
        <v>1.78E-2</v>
      </c>
      <c r="F16" t="s">
        <v>119</v>
      </c>
      <c r="G16">
        <v>168.29</v>
      </c>
      <c r="H16">
        <v>4.68</v>
      </c>
      <c r="I16" s="20">
        <f t="shared" si="1"/>
        <v>1.6829E-2</v>
      </c>
      <c r="J16" s="15">
        <f t="shared" si="2"/>
        <v>-5.769802127280288E-2</v>
      </c>
    </row>
    <row r="17" spans="1:10" x14ac:dyDescent="0.2">
      <c r="A17" t="s">
        <v>255</v>
      </c>
      <c r="B17" t="s">
        <v>18</v>
      </c>
      <c r="C17">
        <v>178</v>
      </c>
      <c r="D17">
        <v>1.4</v>
      </c>
      <c r="E17">
        <f t="shared" si="0"/>
        <v>1.78E-2</v>
      </c>
      <c r="F17" t="s">
        <v>120</v>
      </c>
      <c r="G17">
        <v>175.08</v>
      </c>
      <c r="H17">
        <v>4.68</v>
      </c>
      <c r="I17" s="20">
        <f t="shared" si="1"/>
        <v>1.7508000000000003E-2</v>
      </c>
      <c r="J17" s="15">
        <f t="shared" si="2"/>
        <v>-1.667809001599263E-2</v>
      </c>
    </row>
    <row r="18" spans="1:10" x14ac:dyDescent="0.2">
      <c r="A18" t="s">
        <v>255</v>
      </c>
      <c r="B18" t="s">
        <v>18</v>
      </c>
      <c r="C18">
        <v>178</v>
      </c>
      <c r="D18">
        <v>1.4</v>
      </c>
      <c r="E18">
        <f t="shared" si="0"/>
        <v>1.78E-2</v>
      </c>
      <c r="F18" t="s">
        <v>121</v>
      </c>
      <c r="G18">
        <v>170.3</v>
      </c>
      <c r="H18">
        <v>4.78</v>
      </c>
      <c r="I18" s="20">
        <f t="shared" si="1"/>
        <v>1.703E-2</v>
      </c>
      <c r="J18" s="15">
        <f t="shared" si="2"/>
        <v>-4.5214327657075781E-2</v>
      </c>
    </row>
    <row r="19" spans="1:10" x14ac:dyDescent="0.2">
      <c r="A19" t="s">
        <v>254</v>
      </c>
      <c r="B19" t="s">
        <v>18</v>
      </c>
      <c r="C19">
        <v>180</v>
      </c>
      <c r="D19">
        <v>9</v>
      </c>
      <c r="E19">
        <f t="shared" si="0"/>
        <v>1.7999999999999999E-2</v>
      </c>
      <c r="F19" t="s">
        <v>122</v>
      </c>
      <c r="G19">
        <v>173.04</v>
      </c>
      <c r="H19">
        <v>4.18</v>
      </c>
      <c r="I19" s="20">
        <f t="shared" si="1"/>
        <v>1.7304E-2</v>
      </c>
      <c r="J19" s="15">
        <f t="shared" si="2"/>
        <v>-4.0221914008321757E-2</v>
      </c>
    </row>
    <row r="20" spans="1:10" x14ac:dyDescent="0.2">
      <c r="A20" t="s">
        <v>254</v>
      </c>
      <c r="B20" t="s">
        <v>18</v>
      </c>
      <c r="C20">
        <v>180</v>
      </c>
      <c r="D20">
        <v>9</v>
      </c>
      <c r="E20">
        <f t="shared" si="0"/>
        <v>1.7999999999999999E-2</v>
      </c>
      <c r="F20" t="s">
        <v>123</v>
      </c>
      <c r="G20">
        <v>169.51</v>
      </c>
      <c r="H20">
        <v>4.49</v>
      </c>
      <c r="I20" s="20">
        <f t="shared" si="1"/>
        <v>1.6951000000000001E-2</v>
      </c>
      <c r="J20" s="15">
        <f t="shared" si="2"/>
        <v>-6.1884254616246803E-2</v>
      </c>
    </row>
    <row r="21" spans="1:10" x14ac:dyDescent="0.2">
      <c r="A21" t="s">
        <v>254</v>
      </c>
      <c r="B21" t="s">
        <v>18</v>
      </c>
      <c r="C21">
        <v>180</v>
      </c>
      <c r="D21">
        <v>9</v>
      </c>
      <c r="E21">
        <f t="shared" si="0"/>
        <v>1.7999999999999999E-2</v>
      </c>
      <c r="F21" t="s">
        <v>124</v>
      </c>
      <c r="G21">
        <v>167.99</v>
      </c>
      <c r="H21">
        <v>4.47</v>
      </c>
      <c r="I21" s="20">
        <f t="shared" si="1"/>
        <v>1.6799000000000001E-2</v>
      </c>
      <c r="J21" s="15">
        <f t="shared" si="2"/>
        <v>-7.149235073516258E-2</v>
      </c>
    </row>
    <row r="22" spans="1:10" x14ac:dyDescent="0.2">
      <c r="A22" t="s">
        <v>313</v>
      </c>
      <c r="B22" t="s">
        <v>18</v>
      </c>
      <c r="C22">
        <v>151</v>
      </c>
      <c r="D22">
        <v>10.7</v>
      </c>
      <c r="E22">
        <f t="shared" si="0"/>
        <v>1.5100000000000001E-2</v>
      </c>
      <c r="F22" t="s">
        <v>131</v>
      </c>
      <c r="G22">
        <v>148.94999999999999</v>
      </c>
      <c r="H22">
        <v>4.09</v>
      </c>
      <c r="I22" s="20">
        <f t="shared" si="1"/>
        <v>1.4894999999999999E-2</v>
      </c>
      <c r="J22" s="15">
        <f t="shared" si="2"/>
        <v>-1.3763007720711817E-2</v>
      </c>
    </row>
    <row r="23" spans="1:10" x14ac:dyDescent="0.2">
      <c r="A23" t="s">
        <v>313</v>
      </c>
      <c r="B23" t="s">
        <v>18</v>
      </c>
      <c r="C23">
        <v>151</v>
      </c>
      <c r="D23">
        <v>10.7</v>
      </c>
      <c r="E23">
        <f t="shared" ref="E23:E30" si="3">C23/10^4</f>
        <v>1.5100000000000001E-2</v>
      </c>
      <c r="F23" t="s">
        <v>132</v>
      </c>
      <c r="G23">
        <v>147</v>
      </c>
      <c r="H23">
        <v>4.04</v>
      </c>
      <c r="I23" s="20">
        <f t="shared" si="1"/>
        <v>1.47E-2</v>
      </c>
      <c r="J23" s="15">
        <f t="shared" si="2"/>
        <v>-2.7210884353741527E-2</v>
      </c>
    </row>
    <row r="24" spans="1:10" x14ac:dyDescent="0.2">
      <c r="A24" t="s">
        <v>313</v>
      </c>
      <c r="B24" t="s">
        <v>18</v>
      </c>
      <c r="C24">
        <v>151</v>
      </c>
      <c r="D24">
        <v>10.7</v>
      </c>
      <c r="E24">
        <f t="shared" si="3"/>
        <v>1.5100000000000001E-2</v>
      </c>
      <c r="F24" t="s">
        <v>133</v>
      </c>
      <c r="G24">
        <v>146.69</v>
      </c>
      <c r="H24">
        <v>3.92</v>
      </c>
      <c r="I24" s="20">
        <f t="shared" si="1"/>
        <v>1.4669E-2</v>
      </c>
      <c r="J24" s="15">
        <f t="shared" si="2"/>
        <v>-2.9381689276706036E-2</v>
      </c>
    </row>
    <row r="25" spans="1:10" x14ac:dyDescent="0.2">
      <c r="A25" t="s">
        <v>329</v>
      </c>
      <c r="B25" t="s">
        <v>18</v>
      </c>
      <c r="C25">
        <v>109</v>
      </c>
      <c r="E25">
        <f t="shared" si="3"/>
        <v>1.09E-2</v>
      </c>
      <c r="F25" t="s">
        <v>134</v>
      </c>
      <c r="G25">
        <v>111.07</v>
      </c>
      <c r="H25">
        <v>3.46</v>
      </c>
      <c r="I25" s="20">
        <f t="shared" si="1"/>
        <v>1.1106999999999999E-2</v>
      </c>
      <c r="J25" s="15">
        <f t="shared" si="2"/>
        <v>1.8636895651390928E-2</v>
      </c>
    </row>
    <row r="26" spans="1:10" x14ac:dyDescent="0.2">
      <c r="A26" t="s">
        <v>329</v>
      </c>
      <c r="B26" t="s">
        <v>18</v>
      </c>
      <c r="C26">
        <v>109</v>
      </c>
      <c r="E26">
        <f t="shared" si="3"/>
        <v>1.09E-2</v>
      </c>
      <c r="F26" t="s">
        <v>136</v>
      </c>
      <c r="G26">
        <v>111.41</v>
      </c>
      <c r="H26">
        <v>3.5</v>
      </c>
      <c r="I26" s="20">
        <f t="shared" si="1"/>
        <v>1.1141E-2</v>
      </c>
      <c r="J26" s="15">
        <f t="shared" si="2"/>
        <v>2.1631810429943443E-2</v>
      </c>
    </row>
    <row r="27" spans="1:10" x14ac:dyDescent="0.2">
      <c r="A27" t="s">
        <v>329</v>
      </c>
      <c r="B27" t="s">
        <v>18</v>
      </c>
      <c r="C27">
        <v>109</v>
      </c>
      <c r="E27">
        <f t="shared" si="3"/>
        <v>1.09E-2</v>
      </c>
      <c r="F27" t="s">
        <v>137</v>
      </c>
      <c r="G27">
        <v>111.04</v>
      </c>
      <c r="H27">
        <v>3.66</v>
      </c>
      <c r="I27" s="20">
        <f t="shared" si="1"/>
        <v>1.1104000000000001E-2</v>
      </c>
      <c r="J27" s="15">
        <f t="shared" si="2"/>
        <v>1.8371757925072174E-2</v>
      </c>
    </row>
    <row r="28" spans="1:10" x14ac:dyDescent="0.2">
      <c r="A28" t="s">
        <v>210</v>
      </c>
      <c r="B28" t="s">
        <v>18</v>
      </c>
      <c r="C28">
        <v>239</v>
      </c>
      <c r="D28">
        <v>6</v>
      </c>
      <c r="E28">
        <f t="shared" si="3"/>
        <v>2.3900000000000001E-2</v>
      </c>
      <c r="F28" t="s">
        <v>262</v>
      </c>
      <c r="G28">
        <v>216.42</v>
      </c>
      <c r="H28">
        <v>4.59</v>
      </c>
      <c r="I28" s="20">
        <f t="shared" si="1"/>
        <v>2.1641999999999998E-2</v>
      </c>
      <c r="J28" s="15">
        <f t="shared" si="2"/>
        <v>-0.10433416504944115</v>
      </c>
    </row>
    <row r="29" spans="1:10" x14ac:dyDescent="0.2">
      <c r="A29" t="s">
        <v>210</v>
      </c>
      <c r="B29" t="s">
        <v>18</v>
      </c>
      <c r="C29">
        <v>239</v>
      </c>
      <c r="D29">
        <v>6</v>
      </c>
      <c r="E29">
        <f t="shared" si="3"/>
        <v>2.3900000000000001E-2</v>
      </c>
      <c r="F29" t="s">
        <v>263</v>
      </c>
      <c r="G29">
        <v>215.14</v>
      </c>
      <c r="H29">
        <v>4.83</v>
      </c>
      <c r="I29" s="20">
        <f t="shared" si="1"/>
        <v>2.1513999999999998E-2</v>
      </c>
      <c r="J29" s="15">
        <f t="shared" si="2"/>
        <v>-0.11090452728455902</v>
      </c>
    </row>
    <row r="30" spans="1:10" x14ac:dyDescent="0.2">
      <c r="A30" t="s">
        <v>210</v>
      </c>
      <c r="B30" t="s">
        <v>18</v>
      </c>
      <c r="C30">
        <v>239</v>
      </c>
      <c r="D30">
        <v>6</v>
      </c>
      <c r="E30">
        <f t="shared" si="3"/>
        <v>2.3900000000000001E-2</v>
      </c>
      <c r="F30" t="s">
        <v>264</v>
      </c>
      <c r="G30">
        <v>212.27</v>
      </c>
      <c r="H30">
        <v>4.53</v>
      </c>
      <c r="I30" s="20">
        <f t="shared" si="1"/>
        <v>2.1226999999999999E-2</v>
      </c>
      <c r="J30" s="15">
        <f t="shared" si="2"/>
        <v>-0.12592453007961568</v>
      </c>
    </row>
  </sheetData>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CX11"/>
  <sheetViews>
    <sheetView topLeftCell="D1" workbookViewId="0">
      <selection activeCell="CS12" sqref="CS12"/>
    </sheetView>
  </sheetViews>
  <sheetFormatPr baseColWidth="10" defaultColWidth="8.83203125" defaultRowHeight="15" x14ac:dyDescent="0.2"/>
  <cols>
    <col min="3" max="3" width="12.5" bestFit="1" customWidth="1"/>
    <col min="10" max="10" width="39.5" customWidth="1"/>
  </cols>
  <sheetData>
    <row r="1" spans="1:102" x14ac:dyDescent="0.2">
      <c r="A1" t="s">
        <v>0</v>
      </c>
      <c r="B1" t="s">
        <v>1</v>
      </c>
      <c r="C1" t="s">
        <v>2</v>
      </c>
      <c r="D1" t="s">
        <v>3</v>
      </c>
      <c r="E1" t="s">
        <v>4</v>
      </c>
      <c r="F1" t="s">
        <v>5</v>
      </c>
      <c r="G1" t="s">
        <v>6</v>
      </c>
      <c r="H1" t="s">
        <v>7</v>
      </c>
      <c r="I1" t="s">
        <v>331</v>
      </c>
      <c r="J1" t="s">
        <v>8</v>
      </c>
      <c r="K1" t="s">
        <v>9</v>
      </c>
      <c r="L1" t="s">
        <v>332</v>
      </c>
      <c r="M1" t="s">
        <v>32</v>
      </c>
      <c r="N1" t="s">
        <v>33</v>
      </c>
      <c r="O1" t="s">
        <v>42</v>
      </c>
      <c r="P1" t="s">
        <v>43</v>
      </c>
      <c r="Q1" t="s">
        <v>40</v>
      </c>
      <c r="R1" t="s">
        <v>41</v>
      </c>
      <c r="S1" t="s">
        <v>36</v>
      </c>
      <c r="T1" t="s">
        <v>37</v>
      </c>
      <c r="U1" t="s">
        <v>82</v>
      </c>
      <c r="V1" t="s">
        <v>83</v>
      </c>
      <c r="W1" t="s">
        <v>48</v>
      </c>
      <c r="X1" t="s">
        <v>49</v>
      </c>
      <c r="Y1" t="s">
        <v>46</v>
      </c>
      <c r="Z1" t="s">
        <v>47</v>
      </c>
      <c r="AA1" t="s">
        <v>24</v>
      </c>
      <c r="AB1" t="s">
        <v>25</v>
      </c>
      <c r="AC1" t="s">
        <v>26</v>
      </c>
      <c r="AD1" t="s">
        <v>27</v>
      </c>
      <c r="AE1" t="s">
        <v>16</v>
      </c>
      <c r="AF1" t="s">
        <v>17</v>
      </c>
      <c r="AG1" t="s">
        <v>18</v>
      </c>
      <c r="AH1" t="s">
        <v>19</v>
      </c>
      <c r="AI1" t="s">
        <v>52</v>
      </c>
      <c r="AJ1" t="s">
        <v>53</v>
      </c>
      <c r="AK1" t="s">
        <v>58</v>
      </c>
      <c r="AL1" t="s">
        <v>59</v>
      </c>
      <c r="AM1" t="s">
        <v>60</v>
      </c>
      <c r="AN1" t="s">
        <v>61</v>
      </c>
      <c r="AO1" t="s">
        <v>54</v>
      </c>
      <c r="AP1" t="s">
        <v>55</v>
      </c>
      <c r="AQ1" t="s">
        <v>64</v>
      </c>
      <c r="AR1" t="s">
        <v>65</v>
      </c>
      <c r="AS1" t="s">
        <v>92</v>
      </c>
      <c r="AT1" t="s">
        <v>93</v>
      </c>
      <c r="AU1" t="s">
        <v>94</v>
      </c>
      <c r="AV1" t="s">
        <v>95</v>
      </c>
      <c r="AW1" t="s">
        <v>96</v>
      </c>
      <c r="AX1" t="s">
        <v>97</v>
      </c>
    </row>
    <row r="2" spans="1:102" x14ac:dyDescent="0.2">
      <c r="A2">
        <v>1</v>
      </c>
      <c r="B2">
        <v>1715</v>
      </c>
      <c r="C2" s="1">
        <v>42100.410416666666</v>
      </c>
      <c r="D2" t="s">
        <v>333</v>
      </c>
      <c r="E2">
        <v>121</v>
      </c>
      <c r="F2" t="s">
        <v>103</v>
      </c>
      <c r="G2">
        <v>2</v>
      </c>
      <c r="H2" t="s">
        <v>104</v>
      </c>
      <c r="I2" t="s">
        <v>334</v>
      </c>
      <c r="J2" t="s">
        <v>335</v>
      </c>
      <c r="K2" t="s">
        <v>336</v>
      </c>
      <c r="M2">
        <v>0.35599999999999998</v>
      </c>
      <c r="N2">
        <v>4.8000000000000001E-2</v>
      </c>
      <c r="O2">
        <v>2.9540000000000002</v>
      </c>
      <c r="P2">
        <v>0.14199999999999999</v>
      </c>
      <c r="Q2">
        <v>1.224</v>
      </c>
      <c r="R2">
        <v>9.0999999999999998E-2</v>
      </c>
      <c r="S2">
        <v>1.452</v>
      </c>
      <c r="T2">
        <v>9.6000000000000002E-2</v>
      </c>
      <c r="U2">
        <v>6.0570000000000004</v>
      </c>
      <c r="V2">
        <v>0.24</v>
      </c>
      <c r="W2">
        <v>5.7530000000000001</v>
      </c>
      <c r="X2">
        <v>0.23200000000000001</v>
      </c>
      <c r="Y2">
        <v>317.30399999999997</v>
      </c>
      <c r="Z2">
        <v>1.6479999999999999</v>
      </c>
      <c r="AA2">
        <v>0.67900000000000005</v>
      </c>
      <c r="AB2">
        <v>0.08</v>
      </c>
      <c r="AC2">
        <v>0.67800000000000005</v>
      </c>
      <c r="AD2">
        <v>7.9000000000000001E-2</v>
      </c>
      <c r="AE2">
        <v>29.856000000000002</v>
      </c>
      <c r="AF2">
        <v>0.61199999999999999</v>
      </c>
      <c r="AG2">
        <v>20.763999999999999</v>
      </c>
      <c r="AH2">
        <v>0.40500000000000003</v>
      </c>
      <c r="AI2">
        <v>16.274000000000001</v>
      </c>
      <c r="AJ2">
        <v>0.26500000000000001</v>
      </c>
      <c r="AK2">
        <v>133.19800000000001</v>
      </c>
      <c r="AL2">
        <v>0.876</v>
      </c>
      <c r="AM2">
        <v>19.16</v>
      </c>
      <c r="AN2">
        <v>0.29099999999999998</v>
      </c>
      <c r="AO2">
        <v>708211.81299999997</v>
      </c>
      <c r="AP2">
        <v>5860.75</v>
      </c>
      <c r="AQ2">
        <v>12.053000000000001</v>
      </c>
      <c r="AR2">
        <v>0.10199999999999999</v>
      </c>
      <c r="AS2">
        <v>6.6449999999999996</v>
      </c>
      <c r="AT2">
        <v>5.3999999999999999E-2</v>
      </c>
      <c r="AU2">
        <v>10.968</v>
      </c>
      <c r="AV2">
        <v>0.08</v>
      </c>
      <c r="AW2">
        <v>89.224999999999994</v>
      </c>
      <c r="AX2">
        <v>0.219</v>
      </c>
    </row>
    <row r="3" spans="1:102" x14ac:dyDescent="0.2">
      <c r="A3">
        <v>2</v>
      </c>
      <c r="B3">
        <v>1716</v>
      </c>
      <c r="C3" s="1">
        <v>42100.412499999999</v>
      </c>
      <c r="D3" t="s">
        <v>333</v>
      </c>
      <c r="E3">
        <v>121</v>
      </c>
      <c r="F3" t="s">
        <v>103</v>
      </c>
      <c r="G3">
        <v>2</v>
      </c>
      <c r="H3" t="s">
        <v>104</v>
      </c>
      <c r="I3" t="s">
        <v>334</v>
      </c>
      <c r="J3" t="s">
        <v>335</v>
      </c>
      <c r="K3" t="s">
        <v>337</v>
      </c>
      <c r="M3">
        <v>0.35099999999999998</v>
      </c>
      <c r="N3">
        <v>2.7E-2</v>
      </c>
      <c r="O3">
        <v>3.03</v>
      </c>
      <c r="P3">
        <v>0.08</v>
      </c>
      <c r="Q3">
        <v>1.3220000000000001</v>
      </c>
      <c r="R3">
        <v>5.2999999999999999E-2</v>
      </c>
      <c r="S3">
        <v>1.3640000000000001</v>
      </c>
      <c r="T3">
        <v>5.1999999999999998E-2</v>
      </c>
      <c r="U3">
        <v>5.7969999999999997</v>
      </c>
      <c r="V3">
        <v>0.13200000000000001</v>
      </c>
      <c r="W3">
        <v>5.8780000000000001</v>
      </c>
      <c r="X3">
        <v>0.13100000000000001</v>
      </c>
      <c r="Y3">
        <v>312.43299999999999</v>
      </c>
      <c r="Z3">
        <v>0.91700000000000004</v>
      </c>
      <c r="AA3">
        <v>0.75700000000000001</v>
      </c>
      <c r="AB3">
        <v>4.7E-2</v>
      </c>
      <c r="AC3">
        <v>0.64</v>
      </c>
      <c r="AD3">
        <v>4.2999999999999997E-2</v>
      </c>
      <c r="AE3">
        <v>29.608000000000001</v>
      </c>
      <c r="AF3">
        <v>0.34200000000000003</v>
      </c>
      <c r="AG3">
        <v>20.085000000000001</v>
      </c>
      <c r="AH3">
        <v>0.223</v>
      </c>
      <c r="AI3">
        <v>15.532</v>
      </c>
      <c r="AJ3">
        <v>0.25600000000000001</v>
      </c>
      <c r="AK3">
        <v>131.779</v>
      </c>
      <c r="AL3">
        <v>0.86099999999999999</v>
      </c>
      <c r="AM3">
        <v>19.533999999999999</v>
      </c>
      <c r="AN3">
        <v>0.28999999999999998</v>
      </c>
      <c r="AO3">
        <v>700511.43799999997</v>
      </c>
      <c r="AP3">
        <v>5755.25</v>
      </c>
      <c r="AQ3">
        <v>12.241</v>
      </c>
      <c r="AR3">
        <v>0.10299999999999999</v>
      </c>
      <c r="AS3">
        <v>6.6459999999999999</v>
      </c>
      <c r="AT3">
        <v>5.7000000000000002E-2</v>
      </c>
      <c r="AU3">
        <v>10.938000000000001</v>
      </c>
      <c r="AV3">
        <v>8.3000000000000004E-2</v>
      </c>
      <c r="AW3">
        <v>89.153999999999996</v>
      </c>
      <c r="AX3">
        <v>0.23</v>
      </c>
    </row>
    <row r="4" spans="1:102" x14ac:dyDescent="0.2">
      <c r="A4">
        <v>3</v>
      </c>
      <c r="B4">
        <v>1717</v>
      </c>
      <c r="C4" s="1">
        <v>42100.414583333331</v>
      </c>
      <c r="D4" t="s">
        <v>333</v>
      </c>
      <c r="E4">
        <v>121</v>
      </c>
      <c r="F4" t="s">
        <v>103</v>
      </c>
      <c r="G4">
        <v>2</v>
      </c>
      <c r="H4" t="s">
        <v>104</v>
      </c>
      <c r="I4" t="s">
        <v>334</v>
      </c>
      <c r="J4" t="s">
        <v>335</v>
      </c>
      <c r="K4" t="s">
        <v>338</v>
      </c>
      <c r="M4">
        <v>0.379</v>
      </c>
      <c r="N4">
        <v>2.7E-2</v>
      </c>
      <c r="O4">
        <v>3.1269999999999998</v>
      </c>
      <c r="P4">
        <v>8.1000000000000003E-2</v>
      </c>
      <c r="Q4">
        <v>1.35</v>
      </c>
      <c r="R4">
        <v>5.2999999999999999E-2</v>
      </c>
      <c r="S4">
        <v>1.4359999999999999</v>
      </c>
      <c r="T4">
        <v>5.2999999999999999E-2</v>
      </c>
      <c r="U4">
        <v>5.7359999999999998</v>
      </c>
      <c r="V4">
        <v>0.129</v>
      </c>
      <c r="W4">
        <v>5.8570000000000002</v>
      </c>
      <c r="X4">
        <v>0.13</v>
      </c>
      <c r="Y4">
        <v>313.59300000000002</v>
      </c>
      <c r="Z4">
        <v>0.90800000000000003</v>
      </c>
      <c r="AA4">
        <v>0.84599999999999997</v>
      </c>
      <c r="AB4">
        <v>4.9000000000000002E-2</v>
      </c>
      <c r="AC4">
        <v>0.73199999999999998</v>
      </c>
      <c r="AD4">
        <v>4.4999999999999998E-2</v>
      </c>
      <c r="AE4">
        <v>29.303000000000001</v>
      </c>
      <c r="AF4">
        <v>0.33600000000000002</v>
      </c>
      <c r="AG4">
        <v>20.52</v>
      </c>
      <c r="AH4">
        <v>0.223</v>
      </c>
      <c r="AI4">
        <v>15.688000000000001</v>
      </c>
      <c r="AJ4">
        <v>0.252</v>
      </c>
      <c r="AK4">
        <v>133.04599999999999</v>
      </c>
      <c r="AL4">
        <v>0.84599999999999997</v>
      </c>
      <c r="AM4">
        <v>19.879000000000001</v>
      </c>
      <c r="AN4">
        <v>0.28599999999999998</v>
      </c>
      <c r="AO4">
        <v>707503.06299999997</v>
      </c>
      <c r="AP4">
        <v>5656.25</v>
      </c>
      <c r="AQ4">
        <v>12.308</v>
      </c>
      <c r="AR4">
        <v>0.10299999999999999</v>
      </c>
      <c r="AS4">
        <v>6.6639999999999997</v>
      </c>
      <c r="AT4">
        <v>5.3999999999999999E-2</v>
      </c>
      <c r="AU4">
        <v>11.27</v>
      </c>
      <c r="AV4">
        <v>0.08</v>
      </c>
      <c r="AW4">
        <v>88.421000000000006</v>
      </c>
      <c r="AX4">
        <v>0.216</v>
      </c>
    </row>
    <row r="5" spans="1:102" x14ac:dyDescent="0.2">
      <c r="A5" t="s">
        <v>0</v>
      </c>
      <c r="B5" t="s">
        <v>1</v>
      </c>
      <c r="C5" t="s">
        <v>2</v>
      </c>
      <c r="D5" t="s">
        <v>3</v>
      </c>
      <c r="E5" t="s">
        <v>4</v>
      </c>
      <c r="F5" t="s">
        <v>5</v>
      </c>
      <c r="G5" t="s">
        <v>6</v>
      </c>
      <c r="H5" t="s">
        <v>7</v>
      </c>
      <c r="I5" t="s">
        <v>331</v>
      </c>
      <c r="J5" t="s">
        <v>8</v>
      </c>
      <c r="K5" t="s">
        <v>9</v>
      </c>
      <c r="L5" t="s">
        <v>332</v>
      </c>
      <c r="M5" t="s">
        <v>32</v>
      </c>
      <c r="N5" t="s">
        <v>33</v>
      </c>
      <c r="O5" t="s">
        <v>42</v>
      </c>
      <c r="P5" t="s">
        <v>43</v>
      </c>
      <c r="Q5" t="s">
        <v>40</v>
      </c>
      <c r="R5" t="s">
        <v>41</v>
      </c>
      <c r="S5" t="s">
        <v>36</v>
      </c>
      <c r="T5" t="s">
        <v>37</v>
      </c>
      <c r="U5" t="s">
        <v>82</v>
      </c>
      <c r="V5" t="s">
        <v>83</v>
      </c>
      <c r="W5" t="s">
        <v>48</v>
      </c>
      <c r="X5" t="s">
        <v>49</v>
      </c>
      <c r="Y5" t="s">
        <v>46</v>
      </c>
      <c r="Z5" t="s">
        <v>47</v>
      </c>
      <c r="AA5" t="s">
        <v>24</v>
      </c>
      <c r="AB5" t="s">
        <v>25</v>
      </c>
      <c r="AC5" t="s">
        <v>26</v>
      </c>
      <c r="AD5" t="s">
        <v>27</v>
      </c>
      <c r="AE5" t="s">
        <v>16</v>
      </c>
      <c r="AF5" t="s">
        <v>17</v>
      </c>
      <c r="AG5" t="s">
        <v>18</v>
      </c>
      <c r="AH5" t="s">
        <v>19</v>
      </c>
      <c r="AI5" t="s">
        <v>52</v>
      </c>
      <c r="AJ5" t="s">
        <v>53</v>
      </c>
      <c r="AK5" t="s">
        <v>58</v>
      </c>
      <c r="AL5" t="s">
        <v>59</v>
      </c>
      <c r="AM5" t="s">
        <v>60</v>
      </c>
      <c r="AN5" t="s">
        <v>61</v>
      </c>
      <c r="AO5" t="s">
        <v>54</v>
      </c>
      <c r="AP5" t="s">
        <v>55</v>
      </c>
      <c r="AQ5" t="s">
        <v>64</v>
      </c>
      <c r="AR5" t="s">
        <v>65</v>
      </c>
      <c r="AS5" t="s">
        <v>92</v>
      </c>
      <c r="AT5" t="s">
        <v>93</v>
      </c>
      <c r="AU5" t="s">
        <v>94</v>
      </c>
      <c r="AV5" t="s">
        <v>95</v>
      </c>
      <c r="AW5" t="s">
        <v>96</v>
      </c>
      <c r="AX5" t="s">
        <v>97</v>
      </c>
    </row>
    <row r="6" spans="1:102" x14ac:dyDescent="0.2">
      <c r="A6">
        <v>1</v>
      </c>
      <c r="B6">
        <v>1718</v>
      </c>
      <c r="C6">
        <v>42100.42291666667</v>
      </c>
      <c r="D6" t="s">
        <v>333</v>
      </c>
      <c r="E6">
        <v>121</v>
      </c>
      <c r="F6" t="s">
        <v>341</v>
      </c>
      <c r="G6">
        <v>2</v>
      </c>
      <c r="H6" t="s">
        <v>104</v>
      </c>
      <c r="I6" t="s">
        <v>334</v>
      </c>
      <c r="J6" t="s">
        <v>335</v>
      </c>
      <c r="K6" t="s">
        <v>342</v>
      </c>
      <c r="M6">
        <v>0.373</v>
      </c>
      <c r="N6">
        <v>3.5999999999999997E-2</v>
      </c>
      <c r="O6">
        <v>3.093</v>
      </c>
      <c r="P6">
        <v>0.108</v>
      </c>
      <c r="Q6">
        <v>1.2949999999999999</v>
      </c>
      <c r="R6">
        <v>6.9000000000000006E-2</v>
      </c>
      <c r="S6">
        <v>1.446</v>
      </c>
      <c r="T6">
        <v>7.0999999999999994E-2</v>
      </c>
      <c r="U6">
        <v>5.6689999999999996</v>
      </c>
      <c r="V6">
        <v>0.17199999999999999</v>
      </c>
      <c r="W6">
        <v>5.8789999999999996</v>
      </c>
      <c r="X6">
        <v>0.17399999999999999</v>
      </c>
      <c r="Y6">
        <v>316.67599999999999</v>
      </c>
      <c r="Z6">
        <v>1.222</v>
      </c>
      <c r="AA6">
        <v>0.71599999999999997</v>
      </c>
      <c r="AB6">
        <v>6.0999999999999999E-2</v>
      </c>
      <c r="AC6">
        <v>0.79500000000000004</v>
      </c>
      <c r="AD6">
        <v>6.3E-2</v>
      </c>
      <c r="AE6">
        <v>29.603000000000002</v>
      </c>
      <c r="AF6">
        <v>0.45200000000000001</v>
      </c>
      <c r="AG6">
        <v>20.225000000000001</v>
      </c>
      <c r="AH6">
        <v>0.29699999999999999</v>
      </c>
      <c r="AI6">
        <v>15.759</v>
      </c>
      <c r="AJ6">
        <v>0.255</v>
      </c>
      <c r="AK6">
        <v>131.708</v>
      </c>
      <c r="AL6">
        <v>0.85</v>
      </c>
      <c r="AM6">
        <v>19.771999999999998</v>
      </c>
      <c r="AN6">
        <v>0.28899999999999998</v>
      </c>
      <c r="AO6">
        <v>710398.375</v>
      </c>
      <c r="AP6">
        <v>5725</v>
      </c>
      <c r="AQ6">
        <v>12.378</v>
      </c>
      <c r="AR6">
        <v>0.104</v>
      </c>
      <c r="AS6">
        <v>6.681</v>
      </c>
      <c r="AT6">
        <v>5.3999999999999999E-2</v>
      </c>
      <c r="AU6">
        <v>10.789</v>
      </c>
      <c r="AV6">
        <v>7.8E-2</v>
      </c>
      <c r="AW6">
        <v>89.064999999999998</v>
      </c>
      <c r="AX6">
        <v>0.217</v>
      </c>
    </row>
    <row r="7" spans="1:102" x14ac:dyDescent="0.2">
      <c r="A7">
        <v>2</v>
      </c>
      <c r="B7">
        <v>1719</v>
      </c>
      <c r="C7">
        <v>42100.425000000003</v>
      </c>
      <c r="D7" t="s">
        <v>333</v>
      </c>
      <c r="E7">
        <v>121</v>
      </c>
      <c r="F7" t="s">
        <v>341</v>
      </c>
      <c r="G7">
        <v>2</v>
      </c>
      <c r="H7" t="s">
        <v>104</v>
      </c>
      <c r="I7" t="s">
        <v>334</v>
      </c>
      <c r="J7" t="s">
        <v>335</v>
      </c>
      <c r="K7" t="s">
        <v>343</v>
      </c>
      <c r="M7">
        <v>0.376</v>
      </c>
      <c r="N7">
        <v>2.7E-2</v>
      </c>
      <c r="O7">
        <v>3.2250000000000001</v>
      </c>
      <c r="P7">
        <v>0.08</v>
      </c>
      <c r="Q7">
        <v>1.4430000000000001</v>
      </c>
      <c r="R7">
        <v>5.2999999999999999E-2</v>
      </c>
      <c r="S7">
        <v>1.385</v>
      </c>
      <c r="T7">
        <v>5.0999999999999997E-2</v>
      </c>
      <c r="U7">
        <v>5.79</v>
      </c>
      <c r="V7">
        <v>0.127</v>
      </c>
      <c r="W7">
        <v>6.0129999999999999</v>
      </c>
      <c r="X7">
        <v>0.128</v>
      </c>
      <c r="Y7">
        <v>314.589</v>
      </c>
      <c r="Z7">
        <v>0.88900000000000001</v>
      </c>
      <c r="AA7">
        <v>0.80800000000000005</v>
      </c>
      <c r="AB7">
        <v>4.7E-2</v>
      </c>
      <c r="AC7">
        <v>0.73399999999999999</v>
      </c>
      <c r="AD7">
        <v>4.3999999999999997E-2</v>
      </c>
      <c r="AE7">
        <v>29.170999999999999</v>
      </c>
      <c r="AF7">
        <v>0.32800000000000001</v>
      </c>
      <c r="AG7">
        <v>20.489000000000001</v>
      </c>
      <c r="AH7">
        <v>0.218</v>
      </c>
      <c r="AI7">
        <v>16.029</v>
      </c>
      <c r="AJ7">
        <v>0.253</v>
      </c>
      <c r="AK7">
        <v>131.77500000000001</v>
      </c>
      <c r="AL7">
        <v>0.83599999999999997</v>
      </c>
      <c r="AM7">
        <v>19.765000000000001</v>
      </c>
      <c r="AN7">
        <v>0.28399999999999997</v>
      </c>
      <c r="AO7">
        <v>705424.56299999997</v>
      </c>
      <c r="AP7">
        <v>5609.5</v>
      </c>
      <c r="AQ7">
        <v>12.15</v>
      </c>
      <c r="AR7">
        <v>0.104</v>
      </c>
      <c r="AS7">
        <v>6.7569999999999997</v>
      </c>
      <c r="AT7">
        <v>6.0999999999999999E-2</v>
      </c>
      <c r="AU7">
        <v>11.102</v>
      </c>
      <c r="AV7">
        <v>8.8999999999999996E-2</v>
      </c>
      <c r="AW7">
        <v>89.049000000000007</v>
      </c>
      <c r="AX7">
        <v>0.24299999999999999</v>
      </c>
    </row>
    <row r="8" spans="1:102" x14ac:dyDescent="0.2">
      <c r="A8" t="s">
        <v>0</v>
      </c>
      <c r="B8" t="s">
        <v>1</v>
      </c>
      <c r="C8" t="s">
        <v>2</v>
      </c>
      <c r="D8" t="s">
        <v>3</v>
      </c>
      <c r="E8" t="s">
        <v>4</v>
      </c>
      <c r="F8" t="s">
        <v>5</v>
      </c>
      <c r="G8" t="s">
        <v>6</v>
      </c>
      <c r="H8" t="s">
        <v>7</v>
      </c>
      <c r="I8" t="s">
        <v>8</v>
      </c>
      <c r="J8" t="s">
        <v>9</v>
      </c>
      <c r="K8" t="s">
        <v>10</v>
      </c>
      <c r="L8" t="s">
        <v>11</v>
      </c>
      <c r="M8" t="s">
        <v>12</v>
      </c>
      <c r="N8" t="s">
        <v>13</v>
      </c>
      <c r="O8" t="s">
        <v>14</v>
      </c>
      <c r="P8" t="s">
        <v>15</v>
      </c>
      <c r="Q8" t="s">
        <v>16</v>
      </c>
      <c r="R8" t="s">
        <v>17</v>
      </c>
      <c r="S8" t="s">
        <v>18</v>
      </c>
      <c r="T8" t="s">
        <v>19</v>
      </c>
      <c r="U8" t="s">
        <v>20</v>
      </c>
      <c r="V8" t="s">
        <v>21</v>
      </c>
      <c r="W8" t="s">
        <v>22</v>
      </c>
      <c r="X8" t="s">
        <v>23</v>
      </c>
      <c r="Y8" t="s">
        <v>24</v>
      </c>
      <c r="Z8" t="s">
        <v>25</v>
      </c>
      <c r="AA8" t="s">
        <v>26</v>
      </c>
      <c r="AB8" t="s">
        <v>27</v>
      </c>
      <c r="AC8" t="s">
        <v>28</v>
      </c>
      <c r="AD8" t="s">
        <v>29</v>
      </c>
      <c r="AE8" t="s">
        <v>30</v>
      </c>
      <c r="AF8" t="s">
        <v>31</v>
      </c>
      <c r="AG8" t="s">
        <v>32</v>
      </c>
      <c r="AH8" t="s">
        <v>33</v>
      </c>
      <c r="AI8" t="s">
        <v>34</v>
      </c>
      <c r="AJ8" t="s">
        <v>35</v>
      </c>
      <c r="AK8" t="s">
        <v>36</v>
      </c>
      <c r="AL8" t="s">
        <v>37</v>
      </c>
      <c r="AM8" t="s">
        <v>38</v>
      </c>
      <c r="AN8" t="s">
        <v>39</v>
      </c>
      <c r="AO8" t="s">
        <v>40</v>
      </c>
      <c r="AP8" t="s">
        <v>41</v>
      </c>
      <c r="AQ8" t="s">
        <v>42</v>
      </c>
      <c r="AR8" t="s">
        <v>43</v>
      </c>
      <c r="AS8" t="s">
        <v>44</v>
      </c>
      <c r="AT8" t="s">
        <v>45</v>
      </c>
      <c r="AU8" t="s">
        <v>46</v>
      </c>
      <c r="AV8" t="s">
        <v>47</v>
      </c>
      <c r="AW8" t="s">
        <v>48</v>
      </c>
      <c r="AX8" t="s">
        <v>49</v>
      </c>
      <c r="AY8" t="s">
        <v>50</v>
      </c>
      <c r="AZ8" t="s">
        <v>51</v>
      </c>
      <c r="BA8" t="s">
        <v>52</v>
      </c>
      <c r="BB8" t="s">
        <v>53</v>
      </c>
      <c r="BC8" t="s">
        <v>54</v>
      </c>
      <c r="BD8" t="s">
        <v>55</v>
      </c>
      <c r="BE8" t="s">
        <v>56</v>
      </c>
      <c r="BF8" t="s">
        <v>57</v>
      </c>
      <c r="BG8" t="s">
        <v>58</v>
      </c>
      <c r="BH8" t="s">
        <v>59</v>
      </c>
      <c r="BI8" t="s">
        <v>60</v>
      </c>
      <c r="BJ8" t="s">
        <v>61</v>
      </c>
      <c r="BK8" t="s">
        <v>62</v>
      </c>
      <c r="BL8" t="s">
        <v>63</v>
      </c>
      <c r="BM8" t="s">
        <v>64</v>
      </c>
      <c r="BN8" t="s">
        <v>65</v>
      </c>
      <c r="BO8" t="s">
        <v>66</v>
      </c>
      <c r="BP8" t="s">
        <v>67</v>
      </c>
      <c r="BQ8" t="s">
        <v>68</v>
      </c>
      <c r="BR8" t="s">
        <v>69</v>
      </c>
      <c r="BS8" t="s">
        <v>70</v>
      </c>
      <c r="BT8" t="s">
        <v>71</v>
      </c>
      <c r="BU8" t="s">
        <v>72</v>
      </c>
      <c r="BV8" t="s">
        <v>73</v>
      </c>
      <c r="BW8" t="s">
        <v>74</v>
      </c>
      <c r="BX8" t="s">
        <v>75</v>
      </c>
      <c r="BY8" t="s">
        <v>76</v>
      </c>
      <c r="BZ8" t="s">
        <v>77</v>
      </c>
      <c r="CA8" t="s">
        <v>78</v>
      </c>
      <c r="CB8" t="s">
        <v>79</v>
      </c>
      <c r="CC8" t="s">
        <v>80</v>
      </c>
      <c r="CD8" t="s">
        <v>81</v>
      </c>
      <c r="CE8" t="s">
        <v>82</v>
      </c>
      <c r="CF8" t="s">
        <v>83</v>
      </c>
      <c r="CG8" t="s">
        <v>84</v>
      </c>
      <c r="CH8" t="s">
        <v>85</v>
      </c>
      <c r="CI8" t="s">
        <v>86</v>
      </c>
      <c r="CJ8" t="s">
        <v>87</v>
      </c>
      <c r="CK8" t="s">
        <v>88</v>
      </c>
      <c r="CL8" t="s">
        <v>89</v>
      </c>
      <c r="CM8" t="s">
        <v>90</v>
      </c>
      <c r="CN8" t="s">
        <v>91</v>
      </c>
      <c r="CO8" t="s">
        <v>92</v>
      </c>
      <c r="CP8" t="s">
        <v>93</v>
      </c>
      <c r="CQ8" t="s">
        <v>94</v>
      </c>
      <c r="CR8" t="s">
        <v>95</v>
      </c>
      <c r="CS8" t="s">
        <v>96</v>
      </c>
      <c r="CT8" t="s">
        <v>97</v>
      </c>
      <c r="CU8" t="s">
        <v>98</v>
      </c>
      <c r="CV8" t="s">
        <v>99</v>
      </c>
      <c r="CW8" t="s">
        <v>100</v>
      </c>
      <c r="CX8" t="s">
        <v>101</v>
      </c>
    </row>
    <row r="9" spans="1:102" x14ac:dyDescent="0.2">
      <c r="A9">
        <v>1</v>
      </c>
      <c r="B9">
        <v>1720</v>
      </c>
      <c r="C9" s="1">
        <v>42100.433333333334</v>
      </c>
      <c r="D9" t="s">
        <v>102</v>
      </c>
      <c r="E9">
        <v>121</v>
      </c>
      <c r="F9" t="s">
        <v>103</v>
      </c>
      <c r="G9">
        <v>2</v>
      </c>
      <c r="H9" t="s">
        <v>104</v>
      </c>
      <c r="I9" t="s">
        <v>105</v>
      </c>
      <c r="J9" t="s">
        <v>344</v>
      </c>
      <c r="O9">
        <v>244.88</v>
      </c>
      <c r="P9">
        <v>5.71</v>
      </c>
      <c r="Q9">
        <v>160.34</v>
      </c>
      <c r="R9">
        <v>4.79</v>
      </c>
      <c r="S9">
        <v>327.2</v>
      </c>
      <c r="T9">
        <v>6.51</v>
      </c>
      <c r="U9" t="s">
        <v>107</v>
      </c>
      <c r="V9">
        <v>7.47</v>
      </c>
      <c r="W9">
        <v>21.57</v>
      </c>
      <c r="X9">
        <v>1.51</v>
      </c>
      <c r="Y9" t="s">
        <v>107</v>
      </c>
      <c r="Z9">
        <v>4.8099999999999996</v>
      </c>
      <c r="AA9">
        <v>13.46</v>
      </c>
      <c r="AB9">
        <v>4.43</v>
      </c>
      <c r="AC9" t="s">
        <v>107</v>
      </c>
      <c r="AD9">
        <v>7.61</v>
      </c>
      <c r="AE9" t="s">
        <v>107</v>
      </c>
      <c r="AF9">
        <v>4.2</v>
      </c>
      <c r="AG9" t="s">
        <v>107</v>
      </c>
      <c r="AH9">
        <v>11.23</v>
      </c>
      <c r="AI9" t="s">
        <v>107</v>
      </c>
      <c r="AJ9">
        <v>10.84</v>
      </c>
      <c r="AK9">
        <v>115.22</v>
      </c>
      <c r="AL9">
        <v>12.53</v>
      </c>
      <c r="AM9" t="s">
        <v>107</v>
      </c>
      <c r="AN9">
        <v>46.39</v>
      </c>
      <c r="AO9">
        <v>30.03</v>
      </c>
      <c r="AP9">
        <v>14.75</v>
      </c>
      <c r="AQ9">
        <v>45.09</v>
      </c>
      <c r="AR9">
        <v>26.63</v>
      </c>
      <c r="AS9" t="s">
        <v>107</v>
      </c>
      <c r="AT9">
        <v>272.31</v>
      </c>
      <c r="AU9">
        <v>95941.98</v>
      </c>
      <c r="AV9">
        <v>701.34</v>
      </c>
      <c r="AW9">
        <v>1567.03</v>
      </c>
      <c r="AX9">
        <v>96.73</v>
      </c>
      <c r="AY9">
        <v>156.77000000000001</v>
      </c>
      <c r="AZ9">
        <v>32.28</v>
      </c>
      <c r="BA9">
        <v>378.28</v>
      </c>
      <c r="BB9">
        <v>61.57</v>
      </c>
      <c r="BC9">
        <v>12863.11</v>
      </c>
      <c r="BD9">
        <v>223.57</v>
      </c>
      <c r="BE9">
        <v>131.55000000000001</v>
      </c>
      <c r="BF9">
        <v>70.7</v>
      </c>
      <c r="BG9">
        <v>54575.040000000001</v>
      </c>
      <c r="BH9">
        <v>1145.33</v>
      </c>
      <c r="BI9">
        <v>14772.51</v>
      </c>
      <c r="BJ9">
        <v>425.22</v>
      </c>
      <c r="BK9">
        <v>730.84</v>
      </c>
      <c r="BL9">
        <v>89.27</v>
      </c>
      <c r="BM9">
        <v>905.15</v>
      </c>
      <c r="BN9">
        <v>46.32</v>
      </c>
      <c r="BO9">
        <v>38.76</v>
      </c>
      <c r="BP9">
        <v>7.05</v>
      </c>
      <c r="BQ9">
        <v>57.16</v>
      </c>
      <c r="BR9">
        <v>20.29</v>
      </c>
      <c r="BS9" t="s">
        <v>107</v>
      </c>
      <c r="BT9">
        <v>15.15</v>
      </c>
      <c r="BU9" t="s">
        <v>107</v>
      </c>
      <c r="BV9">
        <v>9.32</v>
      </c>
      <c r="BW9" t="s">
        <v>107</v>
      </c>
      <c r="BX9">
        <v>11.43</v>
      </c>
      <c r="BY9">
        <v>10.06</v>
      </c>
      <c r="BZ9">
        <v>5.49</v>
      </c>
      <c r="CA9" t="s">
        <v>107</v>
      </c>
      <c r="CB9">
        <v>9.32</v>
      </c>
      <c r="CC9">
        <v>458836.19</v>
      </c>
      <c r="CD9">
        <v>2693.47</v>
      </c>
      <c r="CE9">
        <v>13.77</v>
      </c>
      <c r="CF9">
        <v>1.92</v>
      </c>
      <c r="CG9" t="s">
        <v>107</v>
      </c>
      <c r="CH9">
        <v>5.1100000000000003</v>
      </c>
      <c r="CI9" t="s">
        <v>107</v>
      </c>
      <c r="CJ9">
        <v>1.5</v>
      </c>
      <c r="CK9" t="s">
        <v>107</v>
      </c>
      <c r="CL9">
        <v>1.5</v>
      </c>
      <c r="CM9" t="s">
        <v>107</v>
      </c>
      <c r="CN9">
        <v>1.5</v>
      </c>
      <c r="CO9">
        <v>72723.83</v>
      </c>
      <c r="CP9">
        <v>2405.5500000000002</v>
      </c>
      <c r="CQ9">
        <v>2308.4499999999998</v>
      </c>
      <c r="CR9">
        <v>327.25</v>
      </c>
      <c r="CS9">
        <v>266390.38</v>
      </c>
      <c r="CT9">
        <v>1838.28</v>
      </c>
      <c r="CU9">
        <v>81.67</v>
      </c>
      <c r="CV9">
        <v>43.98</v>
      </c>
      <c r="CW9">
        <v>17127.04</v>
      </c>
      <c r="CX9">
        <v>5859.53</v>
      </c>
    </row>
    <row r="11" spans="1:102" x14ac:dyDescent="0.2">
      <c r="CS11">
        <f>CS9/10^4</f>
        <v>26.639037999999999</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2:M33"/>
  <sheetViews>
    <sheetView topLeftCell="E3" workbookViewId="0">
      <selection activeCell="I16" sqref="I16:I18"/>
    </sheetView>
  </sheetViews>
  <sheetFormatPr baseColWidth="10" defaultColWidth="8.83203125" defaultRowHeight="15" x14ac:dyDescent="0.2"/>
  <cols>
    <col min="2" max="2" width="17.6640625" bestFit="1" customWidth="1"/>
    <col min="5" max="5" width="12.83203125" bestFit="1" customWidth="1"/>
    <col min="6" max="8" width="11" customWidth="1"/>
    <col min="9" max="9" width="17.5" bestFit="1" customWidth="1"/>
  </cols>
  <sheetData>
    <row r="2" spans="1:13" x14ac:dyDescent="0.2">
      <c r="K2" t="s">
        <v>339</v>
      </c>
    </row>
    <row r="3" spans="1:13" x14ac:dyDescent="0.2">
      <c r="A3" t="s">
        <v>253</v>
      </c>
      <c r="B3" t="s">
        <v>315</v>
      </c>
      <c r="C3" t="s">
        <v>314</v>
      </c>
      <c r="D3" t="s">
        <v>140</v>
      </c>
      <c r="E3" t="s">
        <v>252</v>
      </c>
      <c r="F3" t="s">
        <v>258</v>
      </c>
      <c r="G3" t="s">
        <v>103</v>
      </c>
      <c r="H3" t="s">
        <v>272</v>
      </c>
      <c r="I3" t="s">
        <v>257</v>
      </c>
      <c r="K3" t="s">
        <v>103</v>
      </c>
      <c r="L3" t="s">
        <v>272</v>
      </c>
      <c r="M3" t="s">
        <v>340</v>
      </c>
    </row>
    <row r="4" spans="1:13" x14ac:dyDescent="0.2">
      <c r="A4" t="s">
        <v>260</v>
      </c>
      <c r="B4" t="s">
        <v>92</v>
      </c>
      <c r="C4">
        <v>7.14</v>
      </c>
      <c r="D4">
        <v>0.1</v>
      </c>
      <c r="E4">
        <f t="shared" ref="E4:E12" si="0">C4</f>
        <v>7.14</v>
      </c>
      <c r="F4" t="s">
        <v>106</v>
      </c>
      <c r="G4">
        <v>70871.13</v>
      </c>
      <c r="H4">
        <v>2415.14</v>
      </c>
      <c r="I4" s="20">
        <f t="shared" ref="I4:I15" si="1">G4/10^4</f>
        <v>7.0871130000000004</v>
      </c>
      <c r="J4" s="15">
        <f>1-E4/I4</f>
        <v>-7.4624180537263829E-3</v>
      </c>
      <c r="K4">
        <v>6.6449999999999996</v>
      </c>
      <c r="L4">
        <v>5.3999999999999999E-2</v>
      </c>
      <c r="M4" s="15">
        <f>1-K4/E4</f>
        <v>6.9327731092436951E-2</v>
      </c>
    </row>
    <row r="5" spans="1:13" x14ac:dyDescent="0.2">
      <c r="A5" t="s">
        <v>260</v>
      </c>
      <c r="B5" t="s">
        <v>92</v>
      </c>
      <c r="C5">
        <v>7.14</v>
      </c>
      <c r="D5">
        <v>0.1</v>
      </c>
      <c r="E5">
        <f t="shared" si="0"/>
        <v>7.14</v>
      </c>
      <c r="F5" t="s">
        <v>108</v>
      </c>
      <c r="G5">
        <v>70523.45</v>
      </c>
      <c r="H5">
        <v>2239.4899999999998</v>
      </c>
      <c r="I5" s="20">
        <f t="shared" si="1"/>
        <v>7.0523449999999999</v>
      </c>
      <c r="J5" s="15">
        <f t="shared" ref="J5:J30" si="2">1-E5/I5</f>
        <v>-1.2429199082007347E-2</v>
      </c>
      <c r="K5">
        <v>6.6459999999999999</v>
      </c>
      <c r="L5">
        <v>5.7000000000000002E-2</v>
      </c>
      <c r="M5" s="15">
        <f>1-K5/E5</f>
        <v>6.9187675070027987E-2</v>
      </c>
    </row>
    <row r="6" spans="1:13" x14ac:dyDescent="0.2">
      <c r="A6" t="s">
        <v>260</v>
      </c>
      <c r="B6" t="s">
        <v>92</v>
      </c>
      <c r="C6">
        <v>7.14</v>
      </c>
      <c r="D6">
        <v>0.1</v>
      </c>
      <c r="E6">
        <f t="shared" si="0"/>
        <v>7.14</v>
      </c>
      <c r="F6" t="s">
        <v>109</v>
      </c>
      <c r="G6">
        <v>70712.75</v>
      </c>
      <c r="H6">
        <v>2341.71</v>
      </c>
      <c r="I6" s="20">
        <f t="shared" si="1"/>
        <v>7.071275</v>
      </c>
      <c r="J6" s="15">
        <f t="shared" si="2"/>
        <v>-9.718897935662163E-3</v>
      </c>
      <c r="K6">
        <v>6.6639999999999997</v>
      </c>
      <c r="L6">
        <v>5.3999999999999999E-2</v>
      </c>
      <c r="M6" s="15">
        <f>1-K6/E6</f>
        <v>6.6666666666666652E-2</v>
      </c>
    </row>
    <row r="7" spans="1:13" x14ac:dyDescent="0.2">
      <c r="A7" t="s">
        <v>259</v>
      </c>
      <c r="B7" t="s">
        <v>92</v>
      </c>
      <c r="C7">
        <v>7.88</v>
      </c>
      <c r="D7">
        <v>0.11</v>
      </c>
      <c r="E7">
        <f t="shared" si="0"/>
        <v>7.88</v>
      </c>
      <c r="F7" t="s">
        <v>110</v>
      </c>
      <c r="G7">
        <v>71518.570000000007</v>
      </c>
      <c r="H7">
        <v>2005.02</v>
      </c>
      <c r="I7" s="20">
        <f t="shared" si="1"/>
        <v>7.1518570000000006</v>
      </c>
      <c r="J7" s="15">
        <f t="shared" si="2"/>
        <v>-0.10181173924478615</v>
      </c>
    </row>
    <row r="8" spans="1:13" x14ac:dyDescent="0.2">
      <c r="A8" t="s">
        <v>259</v>
      </c>
      <c r="B8" t="s">
        <v>92</v>
      </c>
      <c r="C8">
        <v>7.88</v>
      </c>
      <c r="D8">
        <v>0.11</v>
      </c>
      <c r="E8">
        <f t="shared" si="0"/>
        <v>7.88</v>
      </c>
      <c r="F8" t="s">
        <v>111</v>
      </c>
      <c r="G8">
        <v>70701.52</v>
      </c>
      <c r="H8">
        <v>1989.32</v>
      </c>
      <c r="I8" s="20">
        <f t="shared" si="1"/>
        <v>7.0701520000000002</v>
      </c>
      <c r="J8" s="15">
        <f t="shared" si="2"/>
        <v>-0.11454463779562296</v>
      </c>
    </row>
    <row r="9" spans="1:13" x14ac:dyDescent="0.2">
      <c r="A9" t="s">
        <v>259</v>
      </c>
      <c r="B9" t="s">
        <v>92</v>
      </c>
      <c r="C9">
        <v>7.88</v>
      </c>
      <c r="D9">
        <v>0.11</v>
      </c>
      <c r="E9">
        <f t="shared" si="0"/>
        <v>7.88</v>
      </c>
      <c r="F9" t="s">
        <v>112</v>
      </c>
      <c r="G9">
        <v>69775.25</v>
      </c>
      <c r="H9">
        <v>2055.25</v>
      </c>
      <c r="I9" s="20">
        <f t="shared" si="1"/>
        <v>6.977525</v>
      </c>
      <c r="J9" s="15">
        <f t="shared" si="2"/>
        <v>-0.12934027466759335</v>
      </c>
    </row>
    <row r="10" spans="1:13" x14ac:dyDescent="0.2">
      <c r="A10" t="s">
        <v>113</v>
      </c>
      <c r="B10" t="s">
        <v>92</v>
      </c>
      <c r="C10">
        <v>8.9499999999999993</v>
      </c>
      <c r="D10">
        <v>0.11</v>
      </c>
      <c r="E10">
        <f t="shared" si="0"/>
        <v>8.9499999999999993</v>
      </c>
      <c r="F10" t="s">
        <v>113</v>
      </c>
      <c r="G10">
        <v>73793.47</v>
      </c>
      <c r="H10">
        <v>2215.12</v>
      </c>
      <c r="I10" s="20">
        <f t="shared" si="1"/>
        <v>7.3793470000000001</v>
      </c>
      <c r="J10" s="15">
        <f t="shared" si="2"/>
        <v>-0.21284444273998759</v>
      </c>
    </row>
    <row r="11" spans="1:13" x14ac:dyDescent="0.2">
      <c r="A11" t="s">
        <v>113</v>
      </c>
      <c r="B11" t="s">
        <v>92</v>
      </c>
      <c r="C11">
        <v>8.9499999999999993</v>
      </c>
      <c r="D11">
        <v>0.11</v>
      </c>
      <c r="E11">
        <f t="shared" si="0"/>
        <v>8.9499999999999993</v>
      </c>
      <c r="F11" t="s">
        <v>114</v>
      </c>
      <c r="G11">
        <v>70205.11</v>
      </c>
      <c r="H11">
        <v>2092.98</v>
      </c>
      <c r="I11" s="20">
        <f t="shared" si="1"/>
        <v>7.0205109999999999</v>
      </c>
      <c r="J11" s="15">
        <f t="shared" si="2"/>
        <v>-0.27483597703927809</v>
      </c>
    </row>
    <row r="12" spans="1:13" x14ac:dyDescent="0.2">
      <c r="A12" t="s">
        <v>113</v>
      </c>
      <c r="B12" t="s">
        <v>92</v>
      </c>
      <c r="C12">
        <v>8.9499999999999993</v>
      </c>
      <c r="D12">
        <v>0.11</v>
      </c>
      <c r="E12">
        <f t="shared" si="0"/>
        <v>8.9499999999999993</v>
      </c>
      <c r="F12" t="s">
        <v>115</v>
      </c>
      <c r="G12">
        <v>72928.31</v>
      </c>
      <c r="H12">
        <v>2069.54</v>
      </c>
      <c r="I12" s="20">
        <f t="shared" si="1"/>
        <v>7.2928309999999996</v>
      </c>
      <c r="J12" s="15">
        <f t="shared" si="2"/>
        <v>-0.22723260692589742</v>
      </c>
    </row>
    <row r="13" spans="1:13" x14ac:dyDescent="0.2">
      <c r="A13" t="s">
        <v>256</v>
      </c>
      <c r="B13" t="s">
        <v>142</v>
      </c>
      <c r="C13">
        <v>4.8</v>
      </c>
      <c r="D13">
        <v>9.1999999999999998E-2</v>
      </c>
      <c r="E13">
        <f t="shared" ref="E13:E21" si="3">C13*0.5292</f>
        <v>2.5401599999999998</v>
      </c>
      <c r="F13" t="s">
        <v>116</v>
      </c>
      <c r="G13">
        <v>27622.92</v>
      </c>
      <c r="H13">
        <v>2221.6799999999998</v>
      </c>
      <c r="I13" s="20">
        <f t="shared" si="1"/>
        <v>2.762292</v>
      </c>
      <c r="J13" s="15">
        <f t="shared" si="2"/>
        <v>8.0415828594515015E-2</v>
      </c>
    </row>
    <row r="14" spans="1:13" x14ac:dyDescent="0.2">
      <c r="A14" t="s">
        <v>256</v>
      </c>
      <c r="B14" t="s">
        <v>324</v>
      </c>
      <c r="C14">
        <v>4.8</v>
      </c>
      <c r="D14">
        <v>9.1999999999999998E-2</v>
      </c>
      <c r="E14">
        <f t="shared" si="3"/>
        <v>2.5401599999999998</v>
      </c>
      <c r="F14" t="s">
        <v>117</v>
      </c>
      <c r="G14">
        <v>26622.07</v>
      </c>
      <c r="H14">
        <v>2133.11</v>
      </c>
      <c r="I14" s="20">
        <f t="shared" si="1"/>
        <v>2.662207</v>
      </c>
      <c r="J14" s="15">
        <f t="shared" si="2"/>
        <v>4.584429385092903E-2</v>
      </c>
    </row>
    <row r="15" spans="1:13" x14ac:dyDescent="0.2">
      <c r="A15" t="s">
        <v>256</v>
      </c>
      <c r="B15" t="s">
        <v>325</v>
      </c>
      <c r="C15">
        <v>4.8</v>
      </c>
      <c r="D15">
        <v>9.1999999999999998E-2</v>
      </c>
      <c r="E15">
        <f t="shared" si="3"/>
        <v>2.5401599999999998</v>
      </c>
      <c r="F15" t="s">
        <v>118</v>
      </c>
      <c r="G15">
        <v>24214.79</v>
      </c>
      <c r="H15">
        <v>1868.18</v>
      </c>
      <c r="I15" s="20">
        <f t="shared" si="1"/>
        <v>2.4214790000000002</v>
      </c>
      <c r="J15" s="15">
        <f t="shared" si="2"/>
        <v>-4.9011781642541496E-2</v>
      </c>
    </row>
    <row r="16" spans="1:13" x14ac:dyDescent="0.2">
      <c r="A16" t="s">
        <v>255</v>
      </c>
      <c r="B16" t="s">
        <v>142</v>
      </c>
      <c r="C16">
        <v>21</v>
      </c>
      <c r="D16">
        <v>0.04</v>
      </c>
      <c r="E16">
        <f t="shared" si="3"/>
        <v>11.113200000000001</v>
      </c>
      <c r="F16" t="s">
        <v>119</v>
      </c>
      <c r="G16">
        <v>107624.13</v>
      </c>
      <c r="H16">
        <v>2848.93</v>
      </c>
      <c r="I16" s="20">
        <f t="shared" ref="I16:I30" si="4">G16/10^4</f>
        <v>10.762413</v>
      </c>
      <c r="J16" s="15">
        <f t="shared" si="2"/>
        <v>-3.2593712952662335E-2</v>
      </c>
    </row>
    <row r="17" spans="1:10" x14ac:dyDescent="0.2">
      <c r="A17" t="s">
        <v>255</v>
      </c>
      <c r="B17" t="s">
        <v>324</v>
      </c>
      <c r="C17">
        <v>21</v>
      </c>
      <c r="D17">
        <v>0.04</v>
      </c>
      <c r="E17">
        <f t="shared" si="3"/>
        <v>11.113200000000001</v>
      </c>
      <c r="F17" t="s">
        <v>120</v>
      </c>
      <c r="G17">
        <v>102140.58</v>
      </c>
      <c r="H17">
        <v>2659.05</v>
      </c>
      <c r="I17" s="20">
        <f t="shared" si="4"/>
        <v>10.214058</v>
      </c>
      <c r="J17" s="15">
        <f t="shared" si="2"/>
        <v>-8.8029850623523087E-2</v>
      </c>
    </row>
    <row r="18" spans="1:10" x14ac:dyDescent="0.2">
      <c r="A18" t="s">
        <v>255</v>
      </c>
      <c r="B18" t="s">
        <v>325</v>
      </c>
      <c r="C18">
        <v>21</v>
      </c>
      <c r="D18">
        <v>0.04</v>
      </c>
      <c r="E18">
        <f t="shared" si="3"/>
        <v>11.113200000000001</v>
      </c>
      <c r="F18" t="s">
        <v>121</v>
      </c>
      <c r="G18">
        <v>104621.4</v>
      </c>
      <c r="H18">
        <v>2719.18</v>
      </c>
      <c r="I18" s="20">
        <f t="shared" si="4"/>
        <v>10.46214</v>
      </c>
      <c r="J18" s="15">
        <f t="shared" si="2"/>
        <v>-6.2230098239939524E-2</v>
      </c>
    </row>
    <row r="19" spans="1:10" x14ac:dyDescent="0.2">
      <c r="A19" t="s">
        <v>254</v>
      </c>
      <c r="B19" t="s">
        <v>142</v>
      </c>
      <c r="C19">
        <v>15.8</v>
      </c>
      <c r="D19">
        <v>0.34</v>
      </c>
      <c r="E19">
        <f t="shared" si="3"/>
        <v>8.3613600000000012</v>
      </c>
      <c r="F19" t="s">
        <v>122</v>
      </c>
      <c r="G19">
        <v>73706.679999999993</v>
      </c>
      <c r="H19">
        <v>2081.21</v>
      </c>
      <c r="I19" s="20">
        <f t="shared" si="4"/>
        <v>7.3706679999999993</v>
      </c>
      <c r="J19" s="15">
        <f t="shared" si="2"/>
        <v>-0.13441006975215841</v>
      </c>
    </row>
    <row r="20" spans="1:10" x14ac:dyDescent="0.2">
      <c r="A20" t="s">
        <v>254</v>
      </c>
      <c r="B20" t="s">
        <v>142</v>
      </c>
      <c r="C20">
        <v>15.8</v>
      </c>
      <c r="D20">
        <v>0.34</v>
      </c>
      <c r="E20">
        <f t="shared" si="3"/>
        <v>8.3613600000000012</v>
      </c>
      <c r="F20" t="s">
        <v>123</v>
      </c>
      <c r="G20">
        <v>71930.73</v>
      </c>
      <c r="H20">
        <v>1983.3</v>
      </c>
      <c r="I20" s="20">
        <f t="shared" si="4"/>
        <v>7.1930729999999992</v>
      </c>
      <c r="J20" s="15">
        <f t="shared" si="2"/>
        <v>-0.16241834331446414</v>
      </c>
    </row>
    <row r="21" spans="1:10" x14ac:dyDescent="0.2">
      <c r="A21" t="s">
        <v>254</v>
      </c>
      <c r="B21" t="s">
        <v>142</v>
      </c>
      <c r="C21">
        <v>15.8</v>
      </c>
      <c r="D21">
        <v>0.34</v>
      </c>
      <c r="E21">
        <f t="shared" si="3"/>
        <v>8.3613600000000012</v>
      </c>
      <c r="F21" t="s">
        <v>124</v>
      </c>
      <c r="G21">
        <v>72816.61</v>
      </c>
      <c r="H21">
        <v>1968.61</v>
      </c>
      <c r="I21" s="20">
        <f t="shared" si="4"/>
        <v>7.2816609999999997</v>
      </c>
      <c r="J21" s="15">
        <f t="shared" si="2"/>
        <v>-0.14827647153582157</v>
      </c>
    </row>
    <row r="22" spans="1:10" x14ac:dyDescent="0.2">
      <c r="A22" t="s">
        <v>313</v>
      </c>
      <c r="B22" t="s">
        <v>277</v>
      </c>
      <c r="C22">
        <v>6.3</v>
      </c>
      <c r="D22">
        <v>0.06</v>
      </c>
      <c r="E22">
        <f>C22</f>
        <v>6.3</v>
      </c>
      <c r="F22" t="s">
        <v>131</v>
      </c>
      <c r="G22">
        <v>55812.89</v>
      </c>
      <c r="H22">
        <v>1645.21</v>
      </c>
      <c r="I22" s="20">
        <f t="shared" si="4"/>
        <v>5.5812889999999999</v>
      </c>
      <c r="J22" s="15">
        <f t="shared" si="2"/>
        <v>-0.12877150780043811</v>
      </c>
    </row>
    <row r="23" spans="1:10" x14ac:dyDescent="0.2">
      <c r="A23" t="s">
        <v>313</v>
      </c>
      <c r="B23" t="s">
        <v>277</v>
      </c>
      <c r="C23">
        <v>6.3</v>
      </c>
      <c r="D23">
        <v>0.06</v>
      </c>
      <c r="E23">
        <f>C23</f>
        <v>6.3</v>
      </c>
      <c r="F23" t="s">
        <v>132</v>
      </c>
      <c r="G23">
        <v>54689.04</v>
      </c>
      <c r="H23">
        <v>1644.98</v>
      </c>
      <c r="I23" s="20">
        <f t="shared" si="4"/>
        <v>5.4689040000000002</v>
      </c>
      <c r="J23" s="15">
        <f t="shared" si="2"/>
        <v>-0.15196756059349359</v>
      </c>
    </row>
    <row r="24" spans="1:10" x14ac:dyDescent="0.2">
      <c r="A24" t="s">
        <v>313</v>
      </c>
      <c r="B24" t="s">
        <v>277</v>
      </c>
      <c r="C24">
        <v>6.3</v>
      </c>
      <c r="D24">
        <v>0.06</v>
      </c>
      <c r="E24">
        <f>C24</f>
        <v>6.3</v>
      </c>
      <c r="F24" t="s">
        <v>133</v>
      </c>
      <c r="G24">
        <v>56466.59</v>
      </c>
      <c r="H24">
        <v>1714.19</v>
      </c>
      <c r="I24" s="20">
        <f t="shared" si="4"/>
        <v>5.6466589999999997</v>
      </c>
      <c r="J24" s="15">
        <f t="shared" si="2"/>
        <v>-0.11570399416717048</v>
      </c>
    </row>
    <row r="25" spans="1:10" x14ac:dyDescent="0.2">
      <c r="A25" t="s">
        <v>323</v>
      </c>
      <c r="B25" t="s">
        <v>270</v>
      </c>
      <c r="F25" t="s">
        <v>134</v>
      </c>
      <c r="G25">
        <v>63055.11</v>
      </c>
      <c r="H25">
        <v>1706.41</v>
      </c>
      <c r="I25" s="20">
        <f t="shared" si="4"/>
        <v>6.3055110000000001</v>
      </c>
      <c r="J25" s="15">
        <f t="shared" si="2"/>
        <v>1</v>
      </c>
    </row>
    <row r="26" spans="1:10" x14ac:dyDescent="0.2">
      <c r="A26" t="s">
        <v>323</v>
      </c>
      <c r="B26" t="s">
        <v>270</v>
      </c>
      <c r="F26" t="s">
        <v>136</v>
      </c>
      <c r="G26">
        <v>63576.800000000003</v>
      </c>
      <c r="H26">
        <v>1760.13</v>
      </c>
      <c r="I26" s="20">
        <f t="shared" si="4"/>
        <v>6.3576800000000002</v>
      </c>
      <c r="J26" s="15">
        <f t="shared" si="2"/>
        <v>1</v>
      </c>
    </row>
    <row r="27" spans="1:10" x14ac:dyDescent="0.2">
      <c r="A27" t="s">
        <v>323</v>
      </c>
      <c r="B27" t="s">
        <v>270</v>
      </c>
      <c r="F27" t="s">
        <v>137</v>
      </c>
      <c r="G27">
        <v>63830.43</v>
      </c>
      <c r="H27">
        <v>1826.18</v>
      </c>
      <c r="I27" s="20">
        <f t="shared" si="4"/>
        <v>6.3830429999999998</v>
      </c>
      <c r="J27" s="15">
        <f t="shared" si="2"/>
        <v>1</v>
      </c>
    </row>
    <row r="28" spans="1:10" x14ac:dyDescent="0.2">
      <c r="A28" t="s">
        <v>210</v>
      </c>
      <c r="B28" t="s">
        <v>92</v>
      </c>
      <c r="C28">
        <v>7.37</v>
      </c>
      <c r="D28">
        <v>0.16</v>
      </c>
      <c r="E28">
        <f>C28</f>
        <v>7.37</v>
      </c>
      <c r="F28" t="s">
        <v>262</v>
      </c>
      <c r="G28">
        <v>62364.01</v>
      </c>
      <c r="H28">
        <v>1802.02</v>
      </c>
      <c r="I28" s="20">
        <f t="shared" si="4"/>
        <v>6.2364009999999999</v>
      </c>
      <c r="J28" s="15">
        <f t="shared" si="2"/>
        <v>-0.181771345364097</v>
      </c>
    </row>
    <row r="29" spans="1:10" x14ac:dyDescent="0.2">
      <c r="A29" t="s">
        <v>210</v>
      </c>
      <c r="B29" t="s">
        <v>92</v>
      </c>
      <c r="C29">
        <v>7.37</v>
      </c>
      <c r="D29">
        <v>0.16</v>
      </c>
      <c r="E29">
        <f>C29</f>
        <v>7.37</v>
      </c>
      <c r="F29" t="s">
        <v>263</v>
      </c>
      <c r="G29">
        <v>62760.36</v>
      </c>
      <c r="H29">
        <v>1733.41</v>
      </c>
      <c r="I29" s="20">
        <f t="shared" si="4"/>
        <v>6.2760360000000004</v>
      </c>
      <c r="J29" s="15">
        <f t="shared" si="2"/>
        <v>-0.17430811423006487</v>
      </c>
    </row>
    <row r="30" spans="1:10" x14ac:dyDescent="0.2">
      <c r="A30" t="s">
        <v>210</v>
      </c>
      <c r="B30" t="s">
        <v>92</v>
      </c>
      <c r="C30">
        <v>7.37</v>
      </c>
      <c r="D30">
        <v>0.16</v>
      </c>
      <c r="E30">
        <f>C30</f>
        <v>7.37</v>
      </c>
      <c r="F30" t="s">
        <v>264</v>
      </c>
      <c r="G30">
        <v>62704.61</v>
      </c>
      <c r="H30">
        <v>1793.28</v>
      </c>
      <c r="I30" s="20">
        <f t="shared" si="4"/>
        <v>6.2704610000000001</v>
      </c>
      <c r="J30" s="15">
        <f t="shared" si="2"/>
        <v>-0.17535217905031231</v>
      </c>
    </row>
    <row r="31" spans="1:10" x14ac:dyDescent="0.2">
      <c r="E31">
        <v>0</v>
      </c>
      <c r="I31">
        <v>0</v>
      </c>
    </row>
    <row r="32" spans="1:10" x14ac:dyDescent="0.2">
      <c r="E32">
        <v>0</v>
      </c>
      <c r="I32">
        <v>0</v>
      </c>
    </row>
    <row r="33" spans="5:9" x14ac:dyDescent="0.2">
      <c r="E33">
        <v>0</v>
      </c>
      <c r="I33">
        <v>0</v>
      </c>
    </row>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3:J30"/>
  <sheetViews>
    <sheetView topLeftCell="A10" workbookViewId="0">
      <selection activeCell="I16" sqref="I16"/>
    </sheetView>
  </sheetViews>
  <sheetFormatPr baseColWidth="10" defaultColWidth="8.83203125" defaultRowHeight="15" x14ac:dyDescent="0.2"/>
  <cols>
    <col min="2" max="2" width="17.6640625" bestFit="1" customWidth="1"/>
    <col min="5" max="5" width="12.83203125" bestFit="1" customWidth="1"/>
    <col min="6" max="8" width="11" customWidth="1"/>
    <col min="9" max="9" width="17.5" bestFit="1" customWidth="1"/>
  </cols>
  <sheetData>
    <row r="3" spans="1:10" x14ac:dyDescent="0.2">
      <c r="A3" t="s">
        <v>253</v>
      </c>
      <c r="B3" t="s">
        <v>315</v>
      </c>
      <c r="C3" t="s">
        <v>314</v>
      </c>
      <c r="D3" t="s">
        <v>140</v>
      </c>
      <c r="E3" t="s">
        <v>252</v>
      </c>
      <c r="F3" t="s">
        <v>258</v>
      </c>
      <c r="G3" t="s">
        <v>103</v>
      </c>
      <c r="H3" t="s">
        <v>272</v>
      </c>
      <c r="I3" t="s">
        <v>257</v>
      </c>
    </row>
    <row r="4" spans="1:10" x14ac:dyDescent="0.2">
      <c r="A4" t="s">
        <v>260</v>
      </c>
      <c r="F4" t="s">
        <v>106</v>
      </c>
      <c r="G4" t="s">
        <v>107</v>
      </c>
      <c r="H4">
        <v>13.12</v>
      </c>
      <c r="I4" s="20"/>
      <c r="J4" s="15" t="e">
        <f>1-E4/I4</f>
        <v>#DIV/0!</v>
      </c>
    </row>
    <row r="5" spans="1:10" x14ac:dyDescent="0.2">
      <c r="A5" t="s">
        <v>260</v>
      </c>
      <c r="F5" t="s">
        <v>108</v>
      </c>
      <c r="G5" t="s">
        <v>107</v>
      </c>
      <c r="H5">
        <v>5.16</v>
      </c>
      <c r="I5" s="20"/>
      <c r="J5" s="15" t="e">
        <f t="shared" ref="J5:J27" si="0">1-E5/I5</f>
        <v>#DIV/0!</v>
      </c>
    </row>
    <row r="6" spans="1:10" x14ac:dyDescent="0.2">
      <c r="A6" t="s">
        <v>260</v>
      </c>
      <c r="F6" t="s">
        <v>109</v>
      </c>
      <c r="G6">
        <v>14.89</v>
      </c>
      <c r="H6">
        <v>7.68</v>
      </c>
      <c r="I6" s="20"/>
      <c r="J6" s="15" t="e">
        <f t="shared" si="0"/>
        <v>#DIV/0!</v>
      </c>
    </row>
    <row r="7" spans="1:10" x14ac:dyDescent="0.2">
      <c r="A7" t="s">
        <v>259</v>
      </c>
      <c r="F7" t="s">
        <v>110</v>
      </c>
      <c r="G7" t="s">
        <v>107</v>
      </c>
      <c r="H7">
        <v>6.27</v>
      </c>
      <c r="I7" s="20"/>
      <c r="J7" s="15" t="e">
        <f t="shared" si="0"/>
        <v>#DIV/0!</v>
      </c>
    </row>
    <row r="8" spans="1:10" x14ac:dyDescent="0.2">
      <c r="A8" t="s">
        <v>259</v>
      </c>
      <c r="F8" t="s">
        <v>111</v>
      </c>
      <c r="G8" t="s">
        <v>107</v>
      </c>
      <c r="H8">
        <v>6.14</v>
      </c>
      <c r="I8" s="20"/>
      <c r="J8" s="15" t="e">
        <f t="shared" si="0"/>
        <v>#DIV/0!</v>
      </c>
    </row>
    <row r="9" spans="1:10" x14ac:dyDescent="0.2">
      <c r="A9" t="s">
        <v>259</v>
      </c>
      <c r="F9" t="s">
        <v>112</v>
      </c>
      <c r="G9" t="s">
        <v>107</v>
      </c>
      <c r="H9">
        <v>5.73</v>
      </c>
      <c r="I9" s="20"/>
      <c r="J9" s="15" t="e">
        <f t="shared" si="0"/>
        <v>#DIV/0!</v>
      </c>
    </row>
    <row r="10" spans="1:10" x14ac:dyDescent="0.2">
      <c r="A10" t="s">
        <v>113</v>
      </c>
      <c r="F10" t="s">
        <v>113</v>
      </c>
      <c r="G10" t="s">
        <v>107</v>
      </c>
      <c r="H10">
        <v>4.6399999999999997</v>
      </c>
      <c r="I10" s="20"/>
      <c r="J10" s="15" t="e">
        <f t="shared" si="0"/>
        <v>#DIV/0!</v>
      </c>
    </row>
    <row r="11" spans="1:10" x14ac:dyDescent="0.2">
      <c r="A11" t="s">
        <v>113</v>
      </c>
      <c r="F11" t="s">
        <v>114</v>
      </c>
      <c r="G11" t="s">
        <v>107</v>
      </c>
      <c r="H11">
        <v>4.45</v>
      </c>
      <c r="I11" s="20"/>
      <c r="J11" s="15" t="e">
        <f t="shared" si="0"/>
        <v>#DIV/0!</v>
      </c>
    </row>
    <row r="12" spans="1:10" x14ac:dyDescent="0.2">
      <c r="A12" t="s">
        <v>113</v>
      </c>
      <c r="F12" t="s">
        <v>115</v>
      </c>
      <c r="G12" t="s">
        <v>107</v>
      </c>
      <c r="H12">
        <v>10.99</v>
      </c>
      <c r="I12" s="20"/>
      <c r="J12" s="15" t="e">
        <f t="shared" si="0"/>
        <v>#DIV/0!</v>
      </c>
    </row>
    <row r="13" spans="1:10" x14ac:dyDescent="0.2">
      <c r="A13" t="s">
        <v>256</v>
      </c>
      <c r="B13" t="s">
        <v>270</v>
      </c>
      <c r="F13" t="s">
        <v>116</v>
      </c>
      <c r="G13">
        <v>152.36000000000001</v>
      </c>
      <c r="H13">
        <v>42.66</v>
      </c>
      <c r="I13" s="20"/>
      <c r="J13" s="15" t="e">
        <f t="shared" si="0"/>
        <v>#DIV/0!</v>
      </c>
    </row>
    <row r="14" spans="1:10" x14ac:dyDescent="0.2">
      <c r="A14" t="s">
        <v>256</v>
      </c>
      <c r="B14" t="s">
        <v>270</v>
      </c>
      <c r="F14" t="s">
        <v>117</v>
      </c>
      <c r="G14">
        <v>118.57</v>
      </c>
      <c r="H14">
        <v>41.67</v>
      </c>
      <c r="I14" s="20"/>
      <c r="J14" s="15" t="e">
        <f t="shared" si="0"/>
        <v>#DIV/0!</v>
      </c>
    </row>
    <row r="15" spans="1:10" x14ac:dyDescent="0.2">
      <c r="A15" t="s">
        <v>256</v>
      </c>
      <c r="B15" t="s">
        <v>270</v>
      </c>
      <c r="F15" t="s">
        <v>118</v>
      </c>
      <c r="G15">
        <v>143.83000000000001</v>
      </c>
      <c r="H15">
        <v>38.54</v>
      </c>
      <c r="I15" s="20"/>
      <c r="J15" s="15" t="e">
        <f t="shared" si="0"/>
        <v>#DIV/0!</v>
      </c>
    </row>
    <row r="16" spans="1:10" x14ac:dyDescent="0.2">
      <c r="A16" t="s">
        <v>255</v>
      </c>
      <c r="B16" t="s">
        <v>32</v>
      </c>
      <c r="C16">
        <v>25.7</v>
      </c>
      <c r="D16">
        <v>0.7</v>
      </c>
      <c r="E16">
        <f>C16/10^4</f>
        <v>2.5699999999999998E-3</v>
      </c>
      <c r="F16" t="s">
        <v>119</v>
      </c>
      <c r="G16">
        <v>59.14</v>
      </c>
      <c r="H16">
        <v>11.12</v>
      </c>
      <c r="I16" s="20">
        <f t="shared" ref="I16:I27" si="1">G16/10^4</f>
        <v>5.914E-3</v>
      </c>
      <c r="J16" s="15">
        <f t="shared" si="0"/>
        <v>0.56543794386202229</v>
      </c>
    </row>
    <row r="17" spans="1:10" x14ac:dyDescent="0.2">
      <c r="A17" t="s">
        <v>255</v>
      </c>
      <c r="B17" t="s">
        <v>32</v>
      </c>
      <c r="C17">
        <v>25.7</v>
      </c>
      <c r="D17">
        <v>0.7</v>
      </c>
      <c r="E17">
        <f>C17/10^4</f>
        <v>2.5699999999999998E-3</v>
      </c>
      <c r="F17" t="s">
        <v>120</v>
      </c>
      <c r="G17">
        <v>43.84</v>
      </c>
      <c r="H17">
        <v>10.75</v>
      </c>
      <c r="I17" s="20">
        <f t="shared" si="1"/>
        <v>4.3840000000000007E-3</v>
      </c>
      <c r="J17" s="15">
        <f t="shared" si="0"/>
        <v>0.41377737226277389</v>
      </c>
    </row>
    <row r="18" spans="1:10" x14ac:dyDescent="0.2">
      <c r="A18" t="s">
        <v>255</v>
      </c>
      <c r="B18" t="s">
        <v>32</v>
      </c>
      <c r="C18">
        <v>25.7</v>
      </c>
      <c r="D18">
        <v>0.7</v>
      </c>
      <c r="E18">
        <f>C18/10^4</f>
        <v>2.5699999999999998E-3</v>
      </c>
      <c r="F18" t="s">
        <v>121</v>
      </c>
      <c r="G18">
        <v>43.88</v>
      </c>
      <c r="H18">
        <v>11.13</v>
      </c>
      <c r="I18" s="20">
        <f t="shared" si="1"/>
        <v>4.3880000000000004E-3</v>
      </c>
      <c r="J18" s="15">
        <f t="shared" si="0"/>
        <v>0.4143117593436646</v>
      </c>
    </row>
    <row r="19" spans="1:10" x14ac:dyDescent="0.2">
      <c r="A19" t="s">
        <v>254</v>
      </c>
      <c r="B19" t="s">
        <v>270</v>
      </c>
      <c r="F19" t="s">
        <v>122</v>
      </c>
      <c r="G19" t="s">
        <v>107</v>
      </c>
      <c r="H19">
        <v>4.93</v>
      </c>
      <c r="I19" s="20"/>
      <c r="J19" s="15" t="e">
        <f t="shared" si="0"/>
        <v>#DIV/0!</v>
      </c>
    </row>
    <row r="20" spans="1:10" x14ac:dyDescent="0.2">
      <c r="A20" t="s">
        <v>254</v>
      </c>
      <c r="B20" t="s">
        <v>270</v>
      </c>
      <c r="F20" t="s">
        <v>123</v>
      </c>
      <c r="G20" t="s">
        <v>107</v>
      </c>
      <c r="H20">
        <v>5.38</v>
      </c>
      <c r="I20" s="20"/>
      <c r="J20" s="15" t="e">
        <f t="shared" si="0"/>
        <v>#DIV/0!</v>
      </c>
    </row>
    <row r="21" spans="1:10" x14ac:dyDescent="0.2">
      <c r="A21" t="s">
        <v>254</v>
      </c>
      <c r="B21" t="s">
        <v>270</v>
      </c>
      <c r="F21" t="s">
        <v>124</v>
      </c>
      <c r="G21" t="s">
        <v>107</v>
      </c>
      <c r="H21">
        <v>5.15</v>
      </c>
      <c r="I21" s="20"/>
      <c r="J21" s="15" t="e">
        <f t="shared" si="0"/>
        <v>#DIV/0!</v>
      </c>
    </row>
    <row r="22" spans="1:10" x14ac:dyDescent="0.2">
      <c r="A22" t="s">
        <v>313</v>
      </c>
      <c r="B22" t="s">
        <v>32</v>
      </c>
      <c r="C22">
        <v>38.799999999999997</v>
      </c>
      <c r="D22">
        <v>2.6</v>
      </c>
      <c r="E22">
        <f>C22/10^4</f>
        <v>3.8799999999999998E-3</v>
      </c>
      <c r="F22" t="s">
        <v>131</v>
      </c>
      <c r="G22">
        <v>42.14</v>
      </c>
      <c r="H22">
        <v>16.46</v>
      </c>
      <c r="I22" s="20">
        <f t="shared" si="1"/>
        <v>4.2139999999999999E-3</v>
      </c>
      <c r="J22" s="15">
        <f t="shared" si="0"/>
        <v>7.925961082107269E-2</v>
      </c>
    </row>
    <row r="23" spans="1:10" x14ac:dyDescent="0.2">
      <c r="A23" t="s">
        <v>313</v>
      </c>
      <c r="B23" t="s">
        <v>32</v>
      </c>
      <c r="C23">
        <v>38.799999999999997</v>
      </c>
      <c r="D23">
        <v>2.6</v>
      </c>
      <c r="E23">
        <f t="shared" ref="E23:E30" si="2">C23/10^4</f>
        <v>3.8799999999999998E-3</v>
      </c>
      <c r="F23" t="s">
        <v>132</v>
      </c>
      <c r="G23">
        <v>40.61</v>
      </c>
      <c r="H23">
        <v>16.13</v>
      </c>
      <c r="I23" s="20">
        <f t="shared" si="1"/>
        <v>4.0610000000000004E-3</v>
      </c>
      <c r="J23" s="15">
        <f t="shared" si="0"/>
        <v>4.4570302881063895E-2</v>
      </c>
    </row>
    <row r="24" spans="1:10" x14ac:dyDescent="0.2">
      <c r="A24" t="s">
        <v>313</v>
      </c>
      <c r="B24" t="s">
        <v>32</v>
      </c>
      <c r="C24">
        <v>38.799999999999997</v>
      </c>
      <c r="D24">
        <v>2.6</v>
      </c>
      <c r="E24">
        <f t="shared" si="2"/>
        <v>3.8799999999999998E-3</v>
      </c>
      <c r="F24" t="s">
        <v>133</v>
      </c>
      <c r="G24">
        <v>45.65</v>
      </c>
      <c r="H24">
        <v>15.38</v>
      </c>
      <c r="I24" s="20">
        <f t="shared" si="1"/>
        <v>4.5649999999999996E-3</v>
      </c>
      <c r="J24" s="15">
        <f t="shared" si="0"/>
        <v>0.15005476451259581</v>
      </c>
    </row>
    <row r="25" spans="1:10" x14ac:dyDescent="0.2">
      <c r="A25" t="s">
        <v>323</v>
      </c>
      <c r="B25" t="s">
        <v>32</v>
      </c>
      <c r="C25">
        <v>111</v>
      </c>
      <c r="E25">
        <f t="shared" si="2"/>
        <v>1.11E-2</v>
      </c>
      <c r="F25" t="s">
        <v>134</v>
      </c>
      <c r="G25">
        <v>99.72</v>
      </c>
      <c r="H25">
        <v>6.57</v>
      </c>
      <c r="I25" s="20">
        <f t="shared" si="1"/>
        <v>9.972E-3</v>
      </c>
      <c r="J25" s="15">
        <f t="shared" si="0"/>
        <v>-0.11311672683513851</v>
      </c>
    </row>
    <row r="26" spans="1:10" x14ac:dyDescent="0.2">
      <c r="A26" t="s">
        <v>323</v>
      </c>
      <c r="B26" t="s">
        <v>32</v>
      </c>
      <c r="C26">
        <v>111</v>
      </c>
      <c r="E26">
        <f t="shared" si="2"/>
        <v>1.11E-2</v>
      </c>
      <c r="F26" t="s">
        <v>136</v>
      </c>
      <c r="G26">
        <v>105.4</v>
      </c>
      <c r="H26">
        <v>6.68</v>
      </c>
      <c r="I26" s="20">
        <f t="shared" si="1"/>
        <v>1.0540000000000001E-2</v>
      </c>
      <c r="J26" s="15">
        <f t="shared" si="0"/>
        <v>-5.3130929791271209E-2</v>
      </c>
    </row>
    <row r="27" spans="1:10" x14ac:dyDescent="0.2">
      <c r="A27" t="s">
        <v>323</v>
      </c>
      <c r="B27" t="s">
        <v>32</v>
      </c>
      <c r="C27">
        <v>111</v>
      </c>
      <c r="E27">
        <f t="shared" si="2"/>
        <v>1.11E-2</v>
      </c>
      <c r="F27" t="s">
        <v>137</v>
      </c>
      <c r="G27">
        <v>101.85</v>
      </c>
      <c r="H27">
        <v>7.07</v>
      </c>
      <c r="I27" s="20">
        <f t="shared" si="1"/>
        <v>1.0185E-2</v>
      </c>
      <c r="J27" s="15">
        <f t="shared" si="0"/>
        <v>-8.9837997054492025E-2</v>
      </c>
    </row>
    <row r="28" spans="1:10" x14ac:dyDescent="0.2">
      <c r="A28" t="s">
        <v>210</v>
      </c>
      <c r="B28" t="s">
        <v>32</v>
      </c>
      <c r="C28">
        <v>10.5</v>
      </c>
      <c r="D28">
        <v>0.3</v>
      </c>
      <c r="E28">
        <f t="shared" si="2"/>
        <v>1.0499999999999999E-3</v>
      </c>
      <c r="F28" t="s">
        <v>262</v>
      </c>
      <c r="G28">
        <v>13.78</v>
      </c>
      <c r="H28">
        <v>3.31</v>
      </c>
      <c r="I28" s="20">
        <f>G28/10^4</f>
        <v>1.3779999999999999E-3</v>
      </c>
      <c r="J28" s="15">
        <f>1-E28/I28</f>
        <v>0.23802612481857766</v>
      </c>
    </row>
    <row r="29" spans="1:10" x14ac:dyDescent="0.2">
      <c r="A29" t="s">
        <v>210</v>
      </c>
      <c r="B29" t="s">
        <v>32</v>
      </c>
      <c r="C29">
        <v>10.5</v>
      </c>
      <c r="D29">
        <v>0.3</v>
      </c>
      <c r="E29">
        <f t="shared" si="2"/>
        <v>1.0499999999999999E-3</v>
      </c>
      <c r="F29" t="s">
        <v>263</v>
      </c>
      <c r="G29">
        <v>19.07</v>
      </c>
      <c r="H29">
        <v>7.95</v>
      </c>
      <c r="I29" s="20">
        <f>G29/10^4</f>
        <v>1.9070000000000001E-3</v>
      </c>
      <c r="J29" s="15">
        <f>1-E29/I29</f>
        <v>0.44939695857367601</v>
      </c>
    </row>
    <row r="30" spans="1:10" x14ac:dyDescent="0.2">
      <c r="A30" t="s">
        <v>210</v>
      </c>
      <c r="B30" t="s">
        <v>32</v>
      </c>
      <c r="C30">
        <v>10.5</v>
      </c>
      <c r="D30">
        <v>0.3</v>
      </c>
      <c r="E30">
        <f t="shared" si="2"/>
        <v>1.0499999999999999E-3</v>
      </c>
      <c r="F30" t="s">
        <v>264</v>
      </c>
      <c r="G30">
        <v>26.03</v>
      </c>
      <c r="H30">
        <v>7.49</v>
      </c>
      <c r="I30" s="20">
        <f>G30/10^4</f>
        <v>2.6030000000000003E-3</v>
      </c>
      <c r="J30" s="15">
        <f>1-E30/I30</f>
        <v>0.59661928543987708</v>
      </c>
    </row>
  </sheetData>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3:J24"/>
  <sheetViews>
    <sheetView topLeftCell="I6" workbookViewId="0">
      <selection activeCell="O2" sqref="O2"/>
    </sheetView>
  </sheetViews>
  <sheetFormatPr baseColWidth="10" defaultColWidth="8.83203125" defaultRowHeight="15" x14ac:dyDescent="0.2"/>
  <cols>
    <col min="2" max="2" width="17.6640625" bestFit="1" customWidth="1"/>
    <col min="5" max="5" width="12.83203125" bestFit="1" customWidth="1"/>
    <col min="6" max="8" width="11" customWidth="1"/>
    <col min="9" max="9" width="17.5" bestFit="1" customWidth="1"/>
  </cols>
  <sheetData>
    <row r="3" spans="1:10" x14ac:dyDescent="0.2">
      <c r="A3" t="s">
        <v>253</v>
      </c>
      <c r="B3" t="s">
        <v>315</v>
      </c>
      <c r="C3" t="s">
        <v>314</v>
      </c>
      <c r="D3" t="s">
        <v>140</v>
      </c>
      <c r="E3" t="s">
        <v>252</v>
      </c>
      <c r="F3" t="s">
        <v>258</v>
      </c>
      <c r="G3" t="s">
        <v>103</v>
      </c>
      <c r="H3" t="s">
        <v>272</v>
      </c>
      <c r="I3" t="s">
        <v>257</v>
      </c>
    </row>
    <row r="4" spans="1:10" x14ac:dyDescent="0.2">
      <c r="A4" t="s">
        <v>260</v>
      </c>
      <c r="B4" t="s">
        <v>270</v>
      </c>
      <c r="F4" t="s">
        <v>106</v>
      </c>
      <c r="G4">
        <v>75.69</v>
      </c>
      <c r="H4">
        <v>31.33</v>
      </c>
      <c r="I4" s="20">
        <f>G4/10^4</f>
        <v>7.5689999999999993E-3</v>
      </c>
      <c r="J4" s="15">
        <f>1-E4/I4</f>
        <v>1</v>
      </c>
    </row>
    <row r="5" spans="1:10" x14ac:dyDescent="0.2">
      <c r="A5" t="s">
        <v>260</v>
      </c>
      <c r="B5" t="s">
        <v>270</v>
      </c>
      <c r="F5" t="s">
        <v>108</v>
      </c>
      <c r="G5">
        <v>62.53</v>
      </c>
      <c r="H5">
        <v>27.31</v>
      </c>
      <c r="I5" s="20">
        <f t="shared" ref="I5:I24" si="0">G5/10^4</f>
        <v>6.2529999999999999E-3</v>
      </c>
      <c r="J5" s="15">
        <f t="shared" ref="J5:J24" si="1">1-E5/I5</f>
        <v>1</v>
      </c>
    </row>
    <row r="6" spans="1:10" x14ac:dyDescent="0.2">
      <c r="A6" t="s">
        <v>260</v>
      </c>
      <c r="B6" t="s">
        <v>270</v>
      </c>
      <c r="F6" t="s">
        <v>109</v>
      </c>
      <c r="G6">
        <v>72.27</v>
      </c>
      <c r="H6">
        <v>27.72</v>
      </c>
      <c r="I6" s="20">
        <f t="shared" si="0"/>
        <v>7.2269999999999999E-3</v>
      </c>
      <c r="J6" s="15">
        <f t="shared" si="1"/>
        <v>1</v>
      </c>
    </row>
    <row r="7" spans="1:10" x14ac:dyDescent="0.2">
      <c r="A7" t="s">
        <v>259</v>
      </c>
      <c r="F7" t="s">
        <v>110</v>
      </c>
      <c r="G7" t="s">
        <v>107</v>
      </c>
      <c r="H7">
        <v>30.53</v>
      </c>
      <c r="I7" s="20" t="e">
        <f t="shared" si="0"/>
        <v>#VALUE!</v>
      </c>
      <c r="J7" s="15" t="e">
        <f t="shared" si="1"/>
        <v>#VALUE!</v>
      </c>
    </row>
    <row r="8" spans="1:10" x14ac:dyDescent="0.2">
      <c r="A8" t="s">
        <v>259</v>
      </c>
      <c r="F8" t="s">
        <v>111</v>
      </c>
      <c r="G8" t="s">
        <v>107</v>
      </c>
      <c r="H8">
        <v>31.09</v>
      </c>
      <c r="I8" s="20" t="e">
        <f t="shared" si="0"/>
        <v>#VALUE!</v>
      </c>
      <c r="J8" s="15" t="e">
        <f t="shared" si="1"/>
        <v>#VALUE!</v>
      </c>
    </row>
    <row r="9" spans="1:10" x14ac:dyDescent="0.2">
      <c r="A9" t="s">
        <v>259</v>
      </c>
      <c r="F9" t="s">
        <v>112</v>
      </c>
      <c r="G9" t="s">
        <v>107</v>
      </c>
      <c r="H9">
        <v>30.05</v>
      </c>
      <c r="I9" s="20" t="e">
        <f t="shared" si="0"/>
        <v>#VALUE!</v>
      </c>
      <c r="J9" s="15" t="e">
        <f t="shared" si="1"/>
        <v>#VALUE!</v>
      </c>
    </row>
    <row r="10" spans="1:10" x14ac:dyDescent="0.2">
      <c r="A10" t="s">
        <v>113</v>
      </c>
      <c r="B10" t="s">
        <v>42</v>
      </c>
      <c r="C10">
        <v>19</v>
      </c>
      <c r="D10">
        <v>3</v>
      </c>
      <c r="E10" s="25">
        <f t="shared" ref="E10:E24" si="2">C10/10^4</f>
        <v>1.9E-3</v>
      </c>
      <c r="F10" t="s">
        <v>113</v>
      </c>
      <c r="G10">
        <v>50.98</v>
      </c>
      <c r="H10">
        <v>22.36</v>
      </c>
      <c r="I10" s="20">
        <f t="shared" si="0"/>
        <v>5.0980000000000001E-3</v>
      </c>
      <c r="J10" s="15">
        <f t="shared" si="1"/>
        <v>0.62730482542173405</v>
      </c>
    </row>
    <row r="11" spans="1:10" x14ac:dyDescent="0.2">
      <c r="A11" t="s">
        <v>113</v>
      </c>
      <c r="B11" t="s">
        <v>42</v>
      </c>
      <c r="C11">
        <v>19</v>
      </c>
      <c r="D11">
        <v>3</v>
      </c>
      <c r="E11" s="25">
        <f t="shared" si="2"/>
        <v>1.9E-3</v>
      </c>
      <c r="F11" t="s">
        <v>114</v>
      </c>
      <c r="G11">
        <v>41.96</v>
      </c>
      <c r="H11">
        <v>21.91</v>
      </c>
      <c r="I11" s="20">
        <f t="shared" si="0"/>
        <v>4.1960000000000001E-3</v>
      </c>
      <c r="J11" s="15">
        <f t="shared" si="1"/>
        <v>0.54718779790276462</v>
      </c>
    </row>
    <row r="12" spans="1:10" x14ac:dyDescent="0.2">
      <c r="A12" t="s">
        <v>113</v>
      </c>
      <c r="B12" t="s">
        <v>42</v>
      </c>
      <c r="C12">
        <v>19</v>
      </c>
      <c r="D12">
        <v>3</v>
      </c>
      <c r="E12" s="25">
        <f t="shared" si="2"/>
        <v>1.9E-3</v>
      </c>
      <c r="F12" t="s">
        <v>115</v>
      </c>
      <c r="G12">
        <v>55.41</v>
      </c>
      <c r="H12">
        <v>23.57</v>
      </c>
      <c r="I12" s="20">
        <f t="shared" si="0"/>
        <v>5.5409999999999999E-3</v>
      </c>
      <c r="J12" s="15">
        <f t="shared" si="1"/>
        <v>0.65710160620826563</v>
      </c>
    </row>
    <row r="13" spans="1:10" x14ac:dyDescent="0.2">
      <c r="A13" t="s">
        <v>256</v>
      </c>
      <c r="B13" t="s">
        <v>42</v>
      </c>
      <c r="C13">
        <v>13400</v>
      </c>
      <c r="D13">
        <v>64</v>
      </c>
      <c r="E13" s="25">
        <f t="shared" si="2"/>
        <v>1.34</v>
      </c>
      <c r="F13" t="s">
        <v>116</v>
      </c>
      <c r="G13">
        <v>11426.02</v>
      </c>
      <c r="H13">
        <v>245.88</v>
      </c>
      <c r="I13" s="20">
        <f t="shared" si="0"/>
        <v>1.1426020000000001</v>
      </c>
      <c r="J13" s="15">
        <f t="shared" si="1"/>
        <v>-0.17276181907610866</v>
      </c>
    </row>
    <row r="14" spans="1:10" x14ac:dyDescent="0.2">
      <c r="A14" t="s">
        <v>256</v>
      </c>
      <c r="B14" t="s">
        <v>42</v>
      </c>
      <c r="C14">
        <v>13400</v>
      </c>
      <c r="D14">
        <v>64</v>
      </c>
      <c r="E14" s="25">
        <f t="shared" si="2"/>
        <v>1.34</v>
      </c>
      <c r="F14" t="s">
        <v>117</v>
      </c>
      <c r="G14">
        <v>11033.07</v>
      </c>
      <c r="H14">
        <v>239.12</v>
      </c>
      <c r="I14" s="20">
        <f t="shared" si="0"/>
        <v>1.103307</v>
      </c>
      <c r="J14" s="15">
        <f t="shared" si="1"/>
        <v>-0.21453049785780398</v>
      </c>
    </row>
    <row r="15" spans="1:10" x14ac:dyDescent="0.2">
      <c r="A15" t="s">
        <v>256</v>
      </c>
      <c r="B15" t="s">
        <v>42</v>
      </c>
      <c r="C15">
        <v>13400</v>
      </c>
      <c r="D15">
        <v>64</v>
      </c>
      <c r="E15" s="25">
        <f t="shared" si="2"/>
        <v>1.34</v>
      </c>
      <c r="F15" t="s">
        <v>118</v>
      </c>
      <c r="G15">
        <v>9813.08</v>
      </c>
      <c r="H15">
        <v>214.88</v>
      </c>
      <c r="I15" s="20">
        <f t="shared" si="0"/>
        <v>0.98130799999999996</v>
      </c>
      <c r="J15" s="15">
        <f t="shared" si="1"/>
        <v>-0.36552438174355051</v>
      </c>
    </row>
    <row r="16" spans="1:10" x14ac:dyDescent="0.2">
      <c r="A16" t="s">
        <v>255</v>
      </c>
      <c r="B16" t="s">
        <v>42</v>
      </c>
      <c r="C16">
        <v>82.8</v>
      </c>
      <c r="D16">
        <v>0.8</v>
      </c>
      <c r="E16" s="25">
        <f t="shared" si="2"/>
        <v>8.2799999999999992E-3</v>
      </c>
      <c r="F16" t="s">
        <v>119</v>
      </c>
      <c r="G16">
        <v>108.86</v>
      </c>
      <c r="H16">
        <v>25.79</v>
      </c>
      <c r="I16" s="20">
        <f t="shared" si="0"/>
        <v>1.0886E-2</v>
      </c>
      <c r="J16" s="15">
        <f t="shared" si="1"/>
        <v>0.23939004225610883</v>
      </c>
    </row>
    <row r="17" spans="1:10" x14ac:dyDescent="0.2">
      <c r="A17" t="s">
        <v>255</v>
      </c>
      <c r="B17" t="s">
        <v>42</v>
      </c>
      <c r="C17">
        <v>82.8</v>
      </c>
      <c r="D17">
        <v>0.8</v>
      </c>
      <c r="E17" s="25">
        <f t="shared" si="2"/>
        <v>8.2799999999999992E-3</v>
      </c>
      <c r="F17" t="s">
        <v>120</v>
      </c>
      <c r="G17">
        <v>93.57</v>
      </c>
      <c r="H17">
        <v>25.11</v>
      </c>
      <c r="I17" s="20">
        <f t="shared" si="0"/>
        <v>9.356999999999999E-3</v>
      </c>
      <c r="J17" s="15">
        <f t="shared" si="1"/>
        <v>0.11510099390830397</v>
      </c>
    </row>
    <row r="18" spans="1:10" x14ac:dyDescent="0.2">
      <c r="A18" t="s">
        <v>255</v>
      </c>
      <c r="B18" t="s">
        <v>42</v>
      </c>
      <c r="C18">
        <v>82.8</v>
      </c>
      <c r="D18">
        <v>0.8</v>
      </c>
      <c r="E18" s="25">
        <f t="shared" si="2"/>
        <v>8.2799999999999992E-3</v>
      </c>
      <c r="F18" t="s">
        <v>121</v>
      </c>
      <c r="G18">
        <v>100.91</v>
      </c>
      <c r="H18">
        <v>26.13</v>
      </c>
      <c r="I18" s="20">
        <f t="shared" si="0"/>
        <v>1.0090999999999999E-2</v>
      </c>
      <c r="J18" s="15">
        <f t="shared" si="1"/>
        <v>0.1794668516499851</v>
      </c>
    </row>
    <row r="19" spans="1:10" x14ac:dyDescent="0.2">
      <c r="A19" t="s">
        <v>254</v>
      </c>
      <c r="B19" t="s">
        <v>42</v>
      </c>
      <c r="C19">
        <v>38</v>
      </c>
      <c r="E19" s="25">
        <f t="shared" si="2"/>
        <v>3.8E-3</v>
      </c>
      <c r="F19" t="s">
        <v>122</v>
      </c>
      <c r="G19">
        <v>32.799999999999997</v>
      </c>
      <c r="H19">
        <v>20.71</v>
      </c>
      <c r="I19" s="20">
        <f t="shared" si="0"/>
        <v>3.2799999999999999E-3</v>
      </c>
      <c r="J19" s="15">
        <f t="shared" si="1"/>
        <v>-0.15853658536585358</v>
      </c>
    </row>
    <row r="20" spans="1:10" x14ac:dyDescent="0.2">
      <c r="A20" t="s">
        <v>254</v>
      </c>
      <c r="B20" t="s">
        <v>42</v>
      </c>
      <c r="C20">
        <v>38</v>
      </c>
      <c r="E20" s="25">
        <f t="shared" si="2"/>
        <v>3.8E-3</v>
      </c>
      <c r="F20" t="s">
        <v>123</v>
      </c>
      <c r="G20">
        <v>44.6</v>
      </c>
      <c r="H20">
        <v>22.71</v>
      </c>
      <c r="I20" s="20">
        <f t="shared" si="0"/>
        <v>4.4600000000000004E-3</v>
      </c>
      <c r="J20" s="15">
        <f t="shared" si="1"/>
        <v>0.14798206278026915</v>
      </c>
    </row>
    <row r="21" spans="1:10" x14ac:dyDescent="0.2">
      <c r="A21" t="s">
        <v>254</v>
      </c>
      <c r="B21" t="s">
        <v>42</v>
      </c>
      <c r="C21">
        <v>38</v>
      </c>
      <c r="E21" s="25">
        <f t="shared" si="2"/>
        <v>3.8E-3</v>
      </c>
      <c r="F21" t="s">
        <v>124</v>
      </c>
      <c r="G21">
        <v>60.64</v>
      </c>
      <c r="H21">
        <v>23.03</v>
      </c>
      <c r="I21" s="20">
        <f t="shared" si="0"/>
        <v>6.0639999999999999E-3</v>
      </c>
      <c r="J21" s="15">
        <f t="shared" si="1"/>
        <v>0.37335092348284959</v>
      </c>
    </row>
    <row r="22" spans="1:10" x14ac:dyDescent="0.2">
      <c r="A22" t="s">
        <v>313</v>
      </c>
      <c r="B22" t="s">
        <v>42</v>
      </c>
      <c r="C22">
        <v>41.5</v>
      </c>
      <c r="D22">
        <v>3.17</v>
      </c>
      <c r="E22">
        <f t="shared" si="2"/>
        <v>4.15E-3</v>
      </c>
      <c r="F22" t="s">
        <v>131</v>
      </c>
      <c r="G22">
        <v>77.78</v>
      </c>
      <c r="H22">
        <v>22.31</v>
      </c>
      <c r="I22" s="20">
        <f t="shared" si="0"/>
        <v>7.7780000000000002E-3</v>
      </c>
      <c r="J22" s="15">
        <f t="shared" si="1"/>
        <v>0.4664438158909745</v>
      </c>
    </row>
    <row r="23" spans="1:10" x14ac:dyDescent="0.2">
      <c r="A23" t="s">
        <v>313</v>
      </c>
      <c r="B23" t="s">
        <v>42</v>
      </c>
      <c r="C23">
        <v>41.5</v>
      </c>
      <c r="D23">
        <v>3.17</v>
      </c>
      <c r="E23">
        <f t="shared" si="2"/>
        <v>4.15E-3</v>
      </c>
      <c r="F23" t="s">
        <v>132</v>
      </c>
      <c r="G23">
        <v>41.59</v>
      </c>
      <c r="H23">
        <v>21.46</v>
      </c>
      <c r="I23" s="20">
        <f t="shared" si="0"/>
        <v>4.1590000000000004E-3</v>
      </c>
      <c r="J23" s="15">
        <f t="shared" si="1"/>
        <v>2.1639817263766625E-3</v>
      </c>
    </row>
    <row r="24" spans="1:10" x14ac:dyDescent="0.2">
      <c r="A24" t="s">
        <v>313</v>
      </c>
      <c r="B24" t="s">
        <v>42</v>
      </c>
      <c r="C24">
        <v>41.5</v>
      </c>
      <c r="D24">
        <v>3.17</v>
      </c>
      <c r="E24">
        <f t="shared" si="2"/>
        <v>4.15E-3</v>
      </c>
      <c r="F24" t="s">
        <v>133</v>
      </c>
      <c r="G24">
        <v>79.849999999999994</v>
      </c>
      <c r="H24">
        <v>21.55</v>
      </c>
      <c r="I24" s="20">
        <f t="shared" si="0"/>
        <v>7.984999999999999E-3</v>
      </c>
      <c r="J24" s="15">
        <f t="shared" si="1"/>
        <v>0.48027551659361301</v>
      </c>
    </row>
  </sheetData>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3:J24"/>
  <sheetViews>
    <sheetView topLeftCell="A6" workbookViewId="0">
      <selection activeCell="J28" sqref="J28"/>
    </sheetView>
  </sheetViews>
  <sheetFormatPr baseColWidth="10" defaultColWidth="8.83203125" defaultRowHeight="15" x14ac:dyDescent="0.2"/>
  <cols>
    <col min="2" max="2" width="17.6640625" bestFit="1" customWidth="1"/>
    <col min="5" max="5" width="12.83203125" bestFit="1" customWidth="1"/>
    <col min="6" max="8" width="11" customWidth="1"/>
    <col min="9" max="9" width="17.5" bestFit="1" customWidth="1"/>
  </cols>
  <sheetData>
    <row r="3" spans="1:10" x14ac:dyDescent="0.2">
      <c r="A3" t="s">
        <v>253</v>
      </c>
      <c r="B3" t="s">
        <v>315</v>
      </c>
      <c r="C3" t="s">
        <v>314</v>
      </c>
      <c r="D3" t="s">
        <v>140</v>
      </c>
      <c r="E3" t="s">
        <v>252</v>
      </c>
      <c r="F3" t="s">
        <v>258</v>
      </c>
      <c r="G3" t="s">
        <v>103</v>
      </c>
      <c r="H3" t="s">
        <v>272</v>
      </c>
      <c r="I3" t="s">
        <v>257</v>
      </c>
    </row>
    <row r="4" spans="1:10" x14ac:dyDescent="0.2">
      <c r="A4" t="s">
        <v>260</v>
      </c>
      <c r="B4" t="s">
        <v>40</v>
      </c>
      <c r="C4">
        <v>19</v>
      </c>
      <c r="D4">
        <v>2</v>
      </c>
      <c r="F4" t="s">
        <v>106</v>
      </c>
      <c r="G4" t="s">
        <v>107</v>
      </c>
      <c r="H4">
        <v>24.86</v>
      </c>
      <c r="I4" s="20"/>
      <c r="J4" s="15"/>
    </row>
    <row r="5" spans="1:10" x14ac:dyDescent="0.2">
      <c r="A5" t="s">
        <v>260</v>
      </c>
      <c r="B5" t="s">
        <v>40</v>
      </c>
      <c r="C5">
        <v>19</v>
      </c>
      <c r="D5">
        <v>2</v>
      </c>
      <c r="E5">
        <f t="shared" ref="E5:E21" si="0">C5/10^4</f>
        <v>1.9E-3</v>
      </c>
      <c r="F5" t="s">
        <v>108</v>
      </c>
      <c r="G5">
        <v>21.96</v>
      </c>
      <c r="H5">
        <v>14.56</v>
      </c>
      <c r="I5" s="20">
        <f t="shared" ref="I5:I24" si="1">G5/10^4</f>
        <v>2.196E-3</v>
      </c>
      <c r="J5" s="15">
        <f t="shared" ref="J5:J24" si="2">1-E5/I5</f>
        <v>0.13479052823315119</v>
      </c>
    </row>
    <row r="6" spans="1:10" x14ac:dyDescent="0.2">
      <c r="A6" t="s">
        <v>260</v>
      </c>
      <c r="B6" t="s">
        <v>40</v>
      </c>
      <c r="C6">
        <v>19</v>
      </c>
      <c r="D6">
        <v>2</v>
      </c>
      <c r="E6">
        <f t="shared" si="0"/>
        <v>1.9E-3</v>
      </c>
      <c r="F6" t="s">
        <v>109</v>
      </c>
      <c r="G6">
        <v>26.3</v>
      </c>
      <c r="H6">
        <v>14.87</v>
      </c>
      <c r="I6" s="20">
        <f t="shared" si="1"/>
        <v>2.63E-3</v>
      </c>
      <c r="J6" s="15">
        <f t="shared" si="2"/>
        <v>0.27756653992395441</v>
      </c>
    </row>
    <row r="7" spans="1:10" x14ac:dyDescent="0.2">
      <c r="A7" t="s">
        <v>259</v>
      </c>
      <c r="B7" t="s">
        <v>40</v>
      </c>
      <c r="C7">
        <v>43</v>
      </c>
      <c r="D7">
        <v>4</v>
      </c>
      <c r="E7">
        <f t="shared" si="0"/>
        <v>4.3E-3</v>
      </c>
      <c r="F7" t="s">
        <v>110</v>
      </c>
      <c r="G7">
        <v>33.53</v>
      </c>
      <c r="H7">
        <v>12.27</v>
      </c>
      <c r="I7" s="20">
        <f t="shared" si="1"/>
        <v>3.3530000000000001E-3</v>
      </c>
      <c r="J7" s="15">
        <f t="shared" si="2"/>
        <v>-0.28243364151506101</v>
      </c>
    </row>
    <row r="8" spans="1:10" x14ac:dyDescent="0.2">
      <c r="A8" t="s">
        <v>259</v>
      </c>
      <c r="B8" t="s">
        <v>40</v>
      </c>
      <c r="C8">
        <v>43</v>
      </c>
      <c r="D8">
        <v>4</v>
      </c>
      <c r="E8">
        <f t="shared" si="0"/>
        <v>4.3E-3</v>
      </c>
      <c r="F8" t="s">
        <v>111</v>
      </c>
      <c r="G8">
        <v>33.340000000000003</v>
      </c>
      <c r="H8">
        <v>12.31</v>
      </c>
      <c r="I8" s="20">
        <f t="shared" si="1"/>
        <v>3.3340000000000002E-3</v>
      </c>
      <c r="J8" s="15">
        <f t="shared" si="2"/>
        <v>-0.28974205158968203</v>
      </c>
    </row>
    <row r="9" spans="1:10" x14ac:dyDescent="0.2">
      <c r="A9" t="s">
        <v>259</v>
      </c>
      <c r="B9" t="s">
        <v>40</v>
      </c>
      <c r="C9">
        <v>43</v>
      </c>
      <c r="D9">
        <v>4</v>
      </c>
      <c r="E9">
        <f t="shared" si="0"/>
        <v>4.3E-3</v>
      </c>
      <c r="F9" t="s">
        <v>112</v>
      </c>
      <c r="G9">
        <v>39.5</v>
      </c>
      <c r="H9">
        <v>12.02</v>
      </c>
      <c r="I9" s="20">
        <f t="shared" si="1"/>
        <v>3.9500000000000004E-3</v>
      </c>
      <c r="J9" s="15">
        <f t="shared" si="2"/>
        <v>-8.8607594936708667E-2</v>
      </c>
    </row>
    <row r="10" spans="1:10" x14ac:dyDescent="0.2">
      <c r="A10" t="s">
        <v>113</v>
      </c>
      <c r="B10" t="s">
        <v>40</v>
      </c>
      <c r="C10">
        <v>53</v>
      </c>
      <c r="D10">
        <v>4</v>
      </c>
      <c r="E10">
        <f t="shared" si="0"/>
        <v>5.3E-3</v>
      </c>
      <c r="F10" t="s">
        <v>113</v>
      </c>
      <c r="G10">
        <v>49.53</v>
      </c>
      <c r="H10">
        <v>13.15</v>
      </c>
      <c r="I10" s="20">
        <f t="shared" si="1"/>
        <v>4.9529999999999999E-3</v>
      </c>
      <c r="J10" s="15">
        <f t="shared" si="2"/>
        <v>-7.0058550373510942E-2</v>
      </c>
    </row>
    <row r="11" spans="1:10" x14ac:dyDescent="0.2">
      <c r="A11" t="s">
        <v>113</v>
      </c>
      <c r="B11" t="s">
        <v>40</v>
      </c>
      <c r="C11">
        <v>53</v>
      </c>
      <c r="D11">
        <v>4</v>
      </c>
      <c r="E11">
        <f t="shared" si="0"/>
        <v>5.3E-3</v>
      </c>
      <c r="F11" t="s">
        <v>114</v>
      </c>
      <c r="G11">
        <v>50.32</v>
      </c>
      <c r="H11">
        <v>13.08</v>
      </c>
      <c r="I11" s="20">
        <f t="shared" si="1"/>
        <v>5.032E-3</v>
      </c>
      <c r="J11" s="15">
        <f t="shared" si="2"/>
        <v>-5.3259141494435669E-2</v>
      </c>
    </row>
    <row r="12" spans="1:10" x14ac:dyDescent="0.2">
      <c r="A12" t="s">
        <v>113</v>
      </c>
      <c r="B12" t="s">
        <v>40</v>
      </c>
      <c r="C12">
        <v>53</v>
      </c>
      <c r="D12">
        <v>4</v>
      </c>
      <c r="E12">
        <f t="shared" si="0"/>
        <v>5.3E-3</v>
      </c>
      <c r="F12" t="s">
        <v>115</v>
      </c>
      <c r="G12">
        <v>50.26</v>
      </c>
      <c r="H12">
        <v>13.92</v>
      </c>
      <c r="I12" s="20">
        <f t="shared" si="1"/>
        <v>5.0260000000000001E-3</v>
      </c>
      <c r="J12" s="15">
        <f t="shared" si="2"/>
        <v>-5.4516514126542015E-2</v>
      </c>
    </row>
    <row r="13" spans="1:10" x14ac:dyDescent="0.2">
      <c r="A13" t="s">
        <v>256</v>
      </c>
      <c r="B13" t="s">
        <v>40</v>
      </c>
      <c r="C13">
        <v>11500</v>
      </c>
      <c r="D13">
        <v>49</v>
      </c>
      <c r="E13">
        <f t="shared" si="0"/>
        <v>1.1499999999999999</v>
      </c>
      <c r="F13" t="s">
        <v>116</v>
      </c>
      <c r="G13">
        <v>9495.7099999999991</v>
      </c>
      <c r="H13">
        <v>195.8</v>
      </c>
      <c r="I13" s="20">
        <f t="shared" si="1"/>
        <v>0.94957099999999994</v>
      </c>
      <c r="J13" s="15">
        <f t="shared" si="2"/>
        <v>-0.21107321095526288</v>
      </c>
    </row>
    <row r="14" spans="1:10" x14ac:dyDescent="0.2">
      <c r="A14" t="s">
        <v>256</v>
      </c>
      <c r="B14" t="s">
        <v>40</v>
      </c>
      <c r="C14">
        <v>11500</v>
      </c>
      <c r="D14">
        <v>49</v>
      </c>
      <c r="E14">
        <f t="shared" si="0"/>
        <v>1.1499999999999999</v>
      </c>
      <c r="F14" t="s">
        <v>117</v>
      </c>
      <c r="G14">
        <v>9426.4599999999991</v>
      </c>
      <c r="H14">
        <v>193.59</v>
      </c>
      <c r="I14" s="20">
        <f t="shared" si="1"/>
        <v>0.94264599999999987</v>
      </c>
      <c r="J14" s="15">
        <f t="shared" si="2"/>
        <v>-0.21997016907725708</v>
      </c>
    </row>
    <row r="15" spans="1:10" x14ac:dyDescent="0.2">
      <c r="A15" t="s">
        <v>256</v>
      </c>
      <c r="B15" t="s">
        <v>40</v>
      </c>
      <c r="C15">
        <v>11500</v>
      </c>
      <c r="D15">
        <v>49</v>
      </c>
      <c r="E15">
        <f t="shared" si="0"/>
        <v>1.1499999999999999</v>
      </c>
      <c r="F15" t="s">
        <v>118</v>
      </c>
      <c r="G15">
        <v>8277.4699999999993</v>
      </c>
      <c r="H15">
        <v>171.81</v>
      </c>
      <c r="I15" s="20">
        <f t="shared" si="1"/>
        <v>0.8277469999999999</v>
      </c>
      <c r="J15" s="15">
        <f t="shared" si="2"/>
        <v>-0.38931340131706915</v>
      </c>
    </row>
    <row r="16" spans="1:10" x14ac:dyDescent="0.2">
      <c r="A16" t="s">
        <v>255</v>
      </c>
      <c r="B16" t="s">
        <v>40</v>
      </c>
      <c r="C16">
        <v>31</v>
      </c>
      <c r="D16">
        <v>0.6</v>
      </c>
      <c r="E16">
        <f t="shared" si="0"/>
        <v>3.0999999999999999E-3</v>
      </c>
      <c r="F16" t="s">
        <v>119</v>
      </c>
      <c r="G16">
        <v>30.71</v>
      </c>
      <c r="H16">
        <v>13.78</v>
      </c>
      <c r="I16" s="20">
        <f t="shared" si="1"/>
        <v>3.0709999999999999E-3</v>
      </c>
      <c r="J16" s="15">
        <f t="shared" si="2"/>
        <v>-9.4431781178769825E-3</v>
      </c>
    </row>
    <row r="17" spans="1:10" x14ac:dyDescent="0.2">
      <c r="A17" t="s">
        <v>255</v>
      </c>
      <c r="B17" t="s">
        <v>40</v>
      </c>
      <c r="C17">
        <v>31</v>
      </c>
      <c r="D17">
        <v>0.6</v>
      </c>
      <c r="E17">
        <f t="shared" si="0"/>
        <v>3.0999999999999999E-3</v>
      </c>
      <c r="F17" t="s">
        <v>120</v>
      </c>
      <c r="G17">
        <v>20.67</v>
      </c>
      <c r="H17">
        <v>13.16</v>
      </c>
      <c r="I17" s="20">
        <f t="shared" si="1"/>
        <v>2.0670000000000003E-3</v>
      </c>
      <c r="J17" s="15">
        <f t="shared" si="2"/>
        <v>-0.49975810353168826</v>
      </c>
    </row>
    <row r="18" spans="1:10" x14ac:dyDescent="0.2">
      <c r="A18" t="s">
        <v>255</v>
      </c>
      <c r="B18" t="s">
        <v>40</v>
      </c>
      <c r="C18">
        <v>31</v>
      </c>
      <c r="D18">
        <v>0.6</v>
      </c>
      <c r="E18">
        <f t="shared" si="0"/>
        <v>3.0999999999999999E-3</v>
      </c>
      <c r="F18" t="s">
        <v>121</v>
      </c>
      <c r="G18">
        <v>30.65</v>
      </c>
      <c r="H18">
        <v>14.04</v>
      </c>
      <c r="I18" s="20">
        <f t="shared" si="1"/>
        <v>3.065E-3</v>
      </c>
      <c r="J18" s="15">
        <f t="shared" si="2"/>
        <v>-1.1419249592169667E-2</v>
      </c>
    </row>
    <row r="19" spans="1:10" x14ac:dyDescent="0.2">
      <c r="A19" t="s">
        <v>254</v>
      </c>
      <c r="B19" t="s">
        <v>40</v>
      </c>
      <c r="C19">
        <v>30</v>
      </c>
      <c r="D19">
        <v>3</v>
      </c>
      <c r="E19">
        <f t="shared" si="0"/>
        <v>3.0000000000000001E-3</v>
      </c>
      <c r="F19" t="s">
        <v>122</v>
      </c>
      <c r="G19">
        <v>38.93</v>
      </c>
      <c r="H19">
        <v>12.09</v>
      </c>
      <c r="I19" s="20">
        <f t="shared" si="1"/>
        <v>3.8929999999999998E-3</v>
      </c>
      <c r="J19" s="15">
        <f t="shared" si="2"/>
        <v>0.22938607757513474</v>
      </c>
    </row>
    <row r="20" spans="1:10" x14ac:dyDescent="0.2">
      <c r="A20" t="s">
        <v>254</v>
      </c>
      <c r="B20" t="s">
        <v>40</v>
      </c>
      <c r="C20">
        <v>30</v>
      </c>
      <c r="D20">
        <v>3</v>
      </c>
      <c r="E20">
        <f t="shared" si="0"/>
        <v>3.0000000000000001E-3</v>
      </c>
      <c r="F20" t="s">
        <v>123</v>
      </c>
      <c r="G20">
        <v>39.94</v>
      </c>
      <c r="H20">
        <v>13.16</v>
      </c>
      <c r="I20" s="20">
        <f t="shared" si="1"/>
        <v>3.9940000000000002E-3</v>
      </c>
      <c r="J20" s="15">
        <f t="shared" si="2"/>
        <v>0.24887330996494739</v>
      </c>
    </row>
    <row r="21" spans="1:10" x14ac:dyDescent="0.2">
      <c r="A21" t="s">
        <v>254</v>
      </c>
      <c r="B21" t="s">
        <v>40</v>
      </c>
      <c r="C21">
        <v>30</v>
      </c>
      <c r="D21">
        <v>3</v>
      </c>
      <c r="E21">
        <f t="shared" si="0"/>
        <v>3.0000000000000001E-3</v>
      </c>
      <c r="F21" t="s">
        <v>124</v>
      </c>
      <c r="G21">
        <v>31.23</v>
      </c>
      <c r="H21">
        <v>12.89</v>
      </c>
      <c r="I21" s="20">
        <f t="shared" si="1"/>
        <v>3.1229999999999999E-3</v>
      </c>
      <c r="J21" s="15">
        <f t="shared" si="2"/>
        <v>3.9385206532180583E-2</v>
      </c>
    </row>
    <row r="22" spans="1:10" x14ac:dyDescent="0.2">
      <c r="A22" t="s">
        <v>313</v>
      </c>
      <c r="B22" t="s">
        <v>40</v>
      </c>
      <c r="C22">
        <v>331</v>
      </c>
      <c r="D22">
        <v>18</v>
      </c>
      <c r="E22">
        <f>C22/10^4</f>
        <v>3.3099999999999997E-2</v>
      </c>
      <c r="F22" t="s">
        <v>131</v>
      </c>
      <c r="G22">
        <v>265.54000000000002</v>
      </c>
      <c r="H22">
        <v>18.66</v>
      </c>
      <c r="I22" s="20">
        <f t="shared" si="1"/>
        <v>2.6554000000000001E-2</v>
      </c>
      <c r="J22" s="15">
        <f t="shared" si="2"/>
        <v>-0.24651653234917514</v>
      </c>
    </row>
    <row r="23" spans="1:10" x14ac:dyDescent="0.2">
      <c r="A23" t="s">
        <v>313</v>
      </c>
      <c r="B23" t="s">
        <v>40</v>
      </c>
      <c r="C23">
        <v>331</v>
      </c>
      <c r="D23">
        <v>18</v>
      </c>
      <c r="E23">
        <f>C23/10^4</f>
        <v>3.3099999999999997E-2</v>
      </c>
      <c r="F23" t="s">
        <v>132</v>
      </c>
      <c r="G23">
        <v>280.64999999999998</v>
      </c>
      <c r="H23">
        <v>18.829999999999998</v>
      </c>
      <c r="I23" s="20">
        <f t="shared" si="1"/>
        <v>2.8064999999999996E-2</v>
      </c>
      <c r="J23" s="15">
        <f t="shared" si="2"/>
        <v>-0.17940495278817048</v>
      </c>
    </row>
    <row r="24" spans="1:10" x14ac:dyDescent="0.2">
      <c r="A24" t="s">
        <v>313</v>
      </c>
      <c r="B24" t="s">
        <v>40</v>
      </c>
      <c r="C24">
        <v>331</v>
      </c>
      <c r="D24">
        <v>18</v>
      </c>
      <c r="E24">
        <f>C24/10^4</f>
        <v>3.3099999999999997E-2</v>
      </c>
      <c r="F24" t="s">
        <v>133</v>
      </c>
      <c r="G24">
        <v>276.72000000000003</v>
      </c>
      <c r="H24">
        <v>18.239999999999998</v>
      </c>
      <c r="I24" s="20">
        <f t="shared" si="1"/>
        <v>2.7672000000000002E-2</v>
      </c>
      <c r="J24" s="15">
        <f t="shared" si="2"/>
        <v>-0.19615495808036987</v>
      </c>
    </row>
  </sheetData>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D20"/>
  <sheetViews>
    <sheetView workbookViewId="0">
      <selection activeCell="L26" sqref="L26"/>
    </sheetView>
  </sheetViews>
  <sheetFormatPr baseColWidth="10" defaultColWidth="8.83203125" defaultRowHeight="15" x14ac:dyDescent="0.2"/>
  <cols>
    <col min="1" max="1" width="11.5" bestFit="1" customWidth="1"/>
    <col min="3" max="3" width="10" bestFit="1" customWidth="1"/>
  </cols>
  <sheetData>
    <row r="1" spans="1:4" ht="17" x14ac:dyDescent="0.2">
      <c r="A1" s="28" t="s">
        <v>138</v>
      </c>
      <c r="B1" s="28" t="s">
        <v>356</v>
      </c>
      <c r="C1" s="28" t="s">
        <v>357</v>
      </c>
      <c r="D1" s="28" t="s">
        <v>364</v>
      </c>
    </row>
    <row r="2" spans="1:4" x14ac:dyDescent="0.2">
      <c r="A2" s="28" t="s">
        <v>358</v>
      </c>
      <c r="B2" s="28">
        <v>0.82820000000000005</v>
      </c>
      <c r="C2" s="28">
        <v>2.3E-3</v>
      </c>
      <c r="D2" s="28">
        <v>0.86009999999999998</v>
      </c>
    </row>
    <row r="3" spans="1:4" x14ac:dyDescent="0.2">
      <c r="A3" s="28" t="s">
        <v>359</v>
      </c>
      <c r="B3" s="28">
        <v>0.92859999999999998</v>
      </c>
      <c r="C3" s="28">
        <v>5.0000000000000001E-4</v>
      </c>
      <c r="D3" s="28">
        <v>0.99870000000000003</v>
      </c>
    </row>
    <row r="4" spans="1:4" x14ac:dyDescent="0.2">
      <c r="A4" s="28" t="s">
        <v>360</v>
      </c>
      <c r="B4" s="28">
        <v>0.88380000000000003</v>
      </c>
      <c r="C4" s="28">
        <v>9.4100000000000003E-2</v>
      </c>
      <c r="D4" s="28">
        <v>0.97650000000000003</v>
      </c>
    </row>
    <row r="5" spans="1:4" x14ac:dyDescent="0.2">
      <c r="A5" s="28" t="s">
        <v>361</v>
      </c>
      <c r="B5" s="28">
        <v>0.76419999999999999</v>
      </c>
      <c r="C5" s="28">
        <v>1.8E-3</v>
      </c>
      <c r="D5" s="28">
        <v>0.92549999999999999</v>
      </c>
    </row>
    <row r="6" spans="1:4" x14ac:dyDescent="0.2">
      <c r="A6" s="28" t="s">
        <v>362</v>
      </c>
      <c r="B6" s="28">
        <v>0.80059999999999998</v>
      </c>
      <c r="C6" s="28">
        <v>2.8999999999999998E-3</v>
      </c>
      <c r="D6" s="28">
        <v>0.99490000000000001</v>
      </c>
    </row>
    <row r="7" spans="1:4" x14ac:dyDescent="0.2">
      <c r="A7" s="28" t="s">
        <v>363</v>
      </c>
      <c r="B7" s="28">
        <v>0.78769999999999996</v>
      </c>
      <c r="C7" s="28">
        <v>8.0000000000000004E-4</v>
      </c>
      <c r="D7" s="28">
        <v>0.99550000000000005</v>
      </c>
    </row>
    <row r="8" spans="1:4" x14ac:dyDescent="0.2">
      <c r="A8" s="28" t="s">
        <v>365</v>
      </c>
      <c r="B8" s="28">
        <v>1.0064</v>
      </c>
      <c r="C8" s="28">
        <v>1.9099999999999999E-2</v>
      </c>
      <c r="D8" s="28">
        <v>0.9899</v>
      </c>
    </row>
    <row r="9" spans="1:4" x14ac:dyDescent="0.2">
      <c r="A9" s="28" t="s">
        <v>366</v>
      </c>
      <c r="B9" s="28">
        <v>0.75460000000000005</v>
      </c>
      <c r="C9" s="28">
        <v>2.7000000000000001E-3</v>
      </c>
      <c r="D9" s="28">
        <v>0.98109999999999997</v>
      </c>
    </row>
    <row r="10" spans="1:4" x14ac:dyDescent="0.2">
      <c r="A10" s="28" t="s">
        <v>367</v>
      </c>
      <c r="B10" s="28">
        <v>1.1024</v>
      </c>
      <c r="C10" s="28">
        <v>3.4000000000000002E-2</v>
      </c>
      <c r="D10" s="28">
        <v>0.90310000000000001</v>
      </c>
    </row>
    <row r="11" spans="1:4" x14ac:dyDescent="0.2">
      <c r="A11" s="28" t="s">
        <v>368</v>
      </c>
      <c r="B11" s="28">
        <v>1.1186</v>
      </c>
      <c r="C11" s="28">
        <v>-2.9999999999999997E-4</v>
      </c>
      <c r="D11" s="28">
        <v>0.91279999999999994</v>
      </c>
    </row>
    <row r="12" spans="1:4" x14ac:dyDescent="0.2">
      <c r="A12" s="28" t="s">
        <v>369</v>
      </c>
      <c r="B12" s="28">
        <v>0.81399999999999995</v>
      </c>
      <c r="C12" s="28">
        <v>6.0000000000000001E-3</v>
      </c>
      <c r="D12" s="28">
        <v>0.97819999999999996</v>
      </c>
    </row>
    <row r="13" spans="1:4" x14ac:dyDescent="0.2">
      <c r="A13" s="28" t="s">
        <v>370</v>
      </c>
      <c r="B13" s="28">
        <v>1.0829</v>
      </c>
      <c r="C13" s="28">
        <v>-2.52E-2</v>
      </c>
      <c r="D13" s="28">
        <v>0.99629999999999996</v>
      </c>
    </row>
    <row r="14" spans="1:4" x14ac:dyDescent="0.2">
      <c r="A14" s="28" t="s">
        <v>371</v>
      </c>
      <c r="B14" s="28">
        <v>0.84440000000000004</v>
      </c>
      <c r="C14" s="28">
        <v>0.29380000000000001</v>
      </c>
      <c r="D14" s="28">
        <v>0.98050000000000004</v>
      </c>
    </row>
    <row r="15" spans="1:4" x14ac:dyDescent="0.2">
      <c r="A15" s="28" t="s">
        <v>372</v>
      </c>
      <c r="B15" s="28">
        <v>1.0943000000000001</v>
      </c>
      <c r="C15" s="28">
        <v>-3.1399999999999997E-2</v>
      </c>
      <c r="D15" s="28">
        <v>0.99829999999999997</v>
      </c>
    </row>
    <row r="16" spans="1:4" x14ac:dyDescent="0.2">
      <c r="A16" s="28" t="s">
        <v>373</v>
      </c>
      <c r="B16" s="28">
        <v>1.0259</v>
      </c>
      <c r="C16" s="28">
        <v>0.23069999999999999</v>
      </c>
      <c r="D16" s="28">
        <v>0.96789999999999998</v>
      </c>
    </row>
    <row r="17" spans="1:4" x14ac:dyDescent="0.2">
      <c r="A17" s="28" t="s">
        <v>374</v>
      </c>
      <c r="B17" s="28">
        <v>1.0708</v>
      </c>
      <c r="C17" s="28">
        <v>-1.4E-3</v>
      </c>
      <c r="D17" s="28">
        <v>0.96089999999999998</v>
      </c>
    </row>
    <row r="18" spans="1:4" x14ac:dyDescent="0.2">
      <c r="A18" s="28" t="s">
        <v>375</v>
      </c>
      <c r="B18" s="28">
        <v>1.1040000000000001</v>
      </c>
      <c r="C18" s="28">
        <v>-5.0000000000000001E-4</v>
      </c>
      <c r="D18" s="28">
        <v>0.99480000000000002</v>
      </c>
    </row>
    <row r="19" spans="1:4" x14ac:dyDescent="0.2">
      <c r="A19" s="28" t="s">
        <v>376</v>
      </c>
      <c r="B19" s="28">
        <v>0.9113</v>
      </c>
      <c r="C19" s="28">
        <v>4.19E-2</v>
      </c>
      <c r="D19" s="28">
        <v>0.98409999999999997</v>
      </c>
    </row>
    <row r="20" spans="1:4" x14ac:dyDescent="0.2">
      <c r="A20" s="28" t="s">
        <v>377</v>
      </c>
      <c r="B20" s="28">
        <v>1.476</v>
      </c>
      <c r="C20" s="28">
        <v>-9.5999999999999992E-3</v>
      </c>
      <c r="D20" s="28">
        <v>0.95599999999999996</v>
      </c>
    </row>
  </sheetData>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3:J30"/>
  <sheetViews>
    <sheetView topLeftCell="C3" workbookViewId="0">
      <selection activeCell="R27" sqref="R27"/>
    </sheetView>
  </sheetViews>
  <sheetFormatPr baseColWidth="10" defaultColWidth="8.83203125" defaultRowHeight="15" x14ac:dyDescent="0.2"/>
  <cols>
    <col min="1" max="1" width="10.5" bestFit="1" customWidth="1"/>
    <col min="2" max="2" width="17.6640625" bestFit="1" customWidth="1"/>
    <col min="5" max="5" width="12.83203125" bestFit="1" customWidth="1"/>
    <col min="6" max="8" width="11" customWidth="1"/>
    <col min="9" max="9" width="17.5" bestFit="1" customWidth="1"/>
  </cols>
  <sheetData>
    <row r="3" spans="1:10" x14ac:dyDescent="0.2">
      <c r="A3" t="s">
        <v>253</v>
      </c>
      <c r="B3" t="s">
        <v>141</v>
      </c>
      <c r="C3" t="s">
        <v>103</v>
      </c>
      <c r="D3" t="s">
        <v>140</v>
      </c>
      <c r="E3" t="s">
        <v>252</v>
      </c>
      <c r="F3" t="s">
        <v>258</v>
      </c>
      <c r="G3" t="s">
        <v>103</v>
      </c>
      <c r="H3" t="s">
        <v>272</v>
      </c>
      <c r="I3" t="s">
        <v>257</v>
      </c>
    </row>
    <row r="4" spans="1:10" x14ac:dyDescent="0.2">
      <c r="A4" t="s">
        <v>260</v>
      </c>
      <c r="B4" t="s">
        <v>144</v>
      </c>
      <c r="D4">
        <v>0.15</v>
      </c>
      <c r="E4">
        <v>9.66</v>
      </c>
      <c r="F4" t="s">
        <v>106</v>
      </c>
      <c r="G4">
        <v>95815.86</v>
      </c>
      <c r="H4">
        <v>803.96</v>
      </c>
      <c r="I4" s="20">
        <f>G4/10^4</f>
        <v>9.5815859999999997</v>
      </c>
      <c r="J4" s="15">
        <f>1-E4/I4</f>
        <v>-8.1838225947146181E-3</v>
      </c>
    </row>
    <row r="5" spans="1:10" x14ac:dyDescent="0.2">
      <c r="A5" t="s">
        <v>260</v>
      </c>
      <c r="B5" t="s">
        <v>144</v>
      </c>
      <c r="D5">
        <v>0.15</v>
      </c>
      <c r="E5">
        <v>9.66</v>
      </c>
      <c r="F5" t="s">
        <v>108</v>
      </c>
      <c r="G5">
        <v>95571.7</v>
      </c>
      <c r="H5">
        <v>702.36</v>
      </c>
      <c r="I5" s="20">
        <f t="shared" ref="I5:I30" si="0">G5/10^4</f>
        <v>9.5571699999999993</v>
      </c>
      <c r="J5" s="15">
        <f t="shared" ref="J5:J30" si="1">1-E5/I5</f>
        <v>-1.0759461221261146E-2</v>
      </c>
    </row>
    <row r="6" spans="1:10" x14ac:dyDescent="0.2">
      <c r="A6" t="s">
        <v>260</v>
      </c>
      <c r="B6" t="s">
        <v>144</v>
      </c>
      <c r="D6">
        <v>0.15</v>
      </c>
      <c r="E6">
        <v>9.66</v>
      </c>
      <c r="F6" t="s">
        <v>109</v>
      </c>
      <c r="G6">
        <v>96386.67</v>
      </c>
      <c r="H6">
        <v>713.18</v>
      </c>
      <c r="I6" s="20">
        <f t="shared" si="0"/>
        <v>9.6386669999999999</v>
      </c>
      <c r="J6" s="15">
        <f t="shared" si="1"/>
        <v>-2.2132728519410616E-3</v>
      </c>
    </row>
    <row r="7" spans="1:10" x14ac:dyDescent="0.2">
      <c r="A7" t="s">
        <v>259</v>
      </c>
      <c r="B7" t="s">
        <v>144</v>
      </c>
      <c r="D7">
        <v>0.11</v>
      </c>
      <c r="E7">
        <v>3.43</v>
      </c>
      <c r="F7" t="s">
        <v>110</v>
      </c>
      <c r="G7">
        <v>34890.120000000003</v>
      </c>
      <c r="H7">
        <v>339.87</v>
      </c>
      <c r="I7" s="20">
        <f t="shared" si="0"/>
        <v>3.4890120000000002</v>
      </c>
      <c r="J7" s="15">
        <f t="shared" si="1"/>
        <v>1.691367068958205E-2</v>
      </c>
    </row>
    <row r="8" spans="1:10" x14ac:dyDescent="0.2">
      <c r="A8" t="s">
        <v>259</v>
      </c>
      <c r="B8" t="s">
        <v>144</v>
      </c>
      <c r="D8">
        <v>0.11</v>
      </c>
      <c r="E8">
        <v>3.43</v>
      </c>
      <c r="F8" t="s">
        <v>111</v>
      </c>
      <c r="G8">
        <v>34965.03</v>
      </c>
      <c r="H8">
        <v>341.39</v>
      </c>
      <c r="I8" s="20">
        <f t="shared" si="0"/>
        <v>3.4965029999999997</v>
      </c>
      <c r="J8" s="15">
        <f t="shared" si="1"/>
        <v>1.9019860700820068E-2</v>
      </c>
    </row>
    <row r="9" spans="1:10" x14ac:dyDescent="0.2">
      <c r="A9" t="s">
        <v>259</v>
      </c>
      <c r="B9" t="s">
        <v>144</v>
      </c>
      <c r="D9">
        <v>0.11</v>
      </c>
      <c r="E9">
        <v>3.43</v>
      </c>
      <c r="F9" t="s">
        <v>112</v>
      </c>
      <c r="G9">
        <v>35280.980000000003</v>
      </c>
      <c r="H9">
        <v>328.91</v>
      </c>
      <c r="I9" s="20">
        <f t="shared" si="0"/>
        <v>3.5280980000000004</v>
      </c>
      <c r="J9" s="15">
        <f t="shared" si="1"/>
        <v>2.7804783200466754E-2</v>
      </c>
    </row>
    <row r="10" spans="1:10" x14ac:dyDescent="0.2">
      <c r="A10" t="s">
        <v>113</v>
      </c>
      <c r="C10">
        <v>13</v>
      </c>
      <c r="D10">
        <v>0.09</v>
      </c>
      <c r="E10">
        <v>4.68</v>
      </c>
      <c r="F10" t="s">
        <v>113</v>
      </c>
      <c r="G10">
        <v>47478.67</v>
      </c>
      <c r="H10">
        <v>410.97</v>
      </c>
      <c r="I10" s="20">
        <f t="shared" si="0"/>
        <v>4.7478669999999994</v>
      </c>
      <c r="J10" s="15">
        <f t="shared" si="1"/>
        <v>1.4294208325549063E-2</v>
      </c>
    </row>
    <row r="11" spans="1:10" x14ac:dyDescent="0.2">
      <c r="A11" t="s">
        <v>113</v>
      </c>
      <c r="C11">
        <v>13</v>
      </c>
      <c r="D11">
        <v>0.09</v>
      </c>
      <c r="E11">
        <v>4.68</v>
      </c>
      <c r="F11" t="s">
        <v>114</v>
      </c>
      <c r="G11">
        <v>47847.839999999997</v>
      </c>
      <c r="H11">
        <v>411.25</v>
      </c>
      <c r="I11" s="20">
        <f t="shared" si="0"/>
        <v>4.7847839999999993</v>
      </c>
      <c r="J11" s="15">
        <f t="shared" si="1"/>
        <v>2.1899421165093247E-2</v>
      </c>
    </row>
    <row r="12" spans="1:10" x14ac:dyDescent="0.2">
      <c r="A12" t="s">
        <v>113</v>
      </c>
      <c r="C12">
        <v>13</v>
      </c>
      <c r="D12">
        <v>0.09</v>
      </c>
      <c r="E12">
        <v>4.68</v>
      </c>
      <c r="F12" t="s">
        <v>115</v>
      </c>
      <c r="G12">
        <v>47393.98</v>
      </c>
      <c r="H12">
        <v>433.72</v>
      </c>
      <c r="I12" s="20">
        <f t="shared" si="0"/>
        <v>4.7393980000000004</v>
      </c>
      <c r="J12" s="15">
        <f t="shared" si="1"/>
        <v>1.2532815349122539E-2</v>
      </c>
    </row>
    <row r="13" spans="1:10" x14ac:dyDescent="0.2">
      <c r="A13" t="s">
        <v>256</v>
      </c>
      <c r="B13" t="s">
        <v>189</v>
      </c>
      <c r="C13">
        <v>8.3000000000000007</v>
      </c>
      <c r="D13">
        <v>4.3999999999999997E-2</v>
      </c>
      <c r="E13">
        <f t="shared" ref="E13:E18" si="2">C13*0.6994</f>
        <v>5.8050200000000007</v>
      </c>
      <c r="F13" t="s">
        <v>116</v>
      </c>
      <c r="G13">
        <v>60973.38</v>
      </c>
      <c r="H13">
        <v>681.1</v>
      </c>
      <c r="I13" s="20">
        <f t="shared" si="0"/>
        <v>6.0973379999999997</v>
      </c>
      <c r="J13" s="15">
        <f t="shared" si="1"/>
        <v>4.794190513958696E-2</v>
      </c>
    </row>
    <row r="14" spans="1:10" x14ac:dyDescent="0.2">
      <c r="A14" t="s">
        <v>256</v>
      </c>
      <c r="B14" t="s">
        <v>189</v>
      </c>
      <c r="C14">
        <v>8.3000000000000007</v>
      </c>
      <c r="D14">
        <v>4.3999999999999997E-2</v>
      </c>
      <c r="E14">
        <f t="shared" si="2"/>
        <v>5.8050200000000007</v>
      </c>
      <c r="F14" t="s">
        <v>117</v>
      </c>
      <c r="G14">
        <v>61027.12</v>
      </c>
      <c r="H14">
        <v>677.87</v>
      </c>
      <c r="I14" s="20">
        <f t="shared" si="0"/>
        <v>6.1027120000000004</v>
      </c>
      <c r="J14" s="15">
        <f t="shared" si="1"/>
        <v>4.8780279980441432E-2</v>
      </c>
    </row>
    <row r="15" spans="1:10" x14ac:dyDescent="0.2">
      <c r="A15" t="s">
        <v>256</v>
      </c>
      <c r="B15" t="s">
        <v>189</v>
      </c>
      <c r="C15">
        <v>8.3000000000000007</v>
      </c>
      <c r="D15">
        <v>4.3999999999999997E-2</v>
      </c>
      <c r="E15">
        <f t="shared" si="2"/>
        <v>5.8050200000000007</v>
      </c>
      <c r="F15" t="s">
        <v>118</v>
      </c>
      <c r="G15">
        <v>57107.29</v>
      </c>
      <c r="H15">
        <v>634.64</v>
      </c>
      <c r="I15" s="20">
        <f t="shared" si="0"/>
        <v>5.7107289999999997</v>
      </c>
      <c r="J15" s="15">
        <f t="shared" si="1"/>
        <v>-1.651120198489564E-2</v>
      </c>
    </row>
    <row r="16" spans="1:10" x14ac:dyDescent="0.2">
      <c r="A16" t="s">
        <v>255</v>
      </c>
      <c r="B16" t="s">
        <v>196</v>
      </c>
      <c r="C16">
        <v>9.7100000000000009</v>
      </c>
      <c r="D16">
        <v>0.02</v>
      </c>
      <c r="E16">
        <f t="shared" si="2"/>
        <v>6.7911740000000007</v>
      </c>
      <c r="F16" t="s">
        <v>119</v>
      </c>
      <c r="G16">
        <v>70887.14</v>
      </c>
      <c r="H16">
        <v>562.34</v>
      </c>
      <c r="I16" s="20">
        <f t="shared" si="0"/>
        <v>7.0887139999999995</v>
      </c>
      <c r="J16" s="15">
        <f t="shared" si="1"/>
        <v>4.1973762800981751E-2</v>
      </c>
    </row>
    <row r="17" spans="1:10" x14ac:dyDescent="0.2">
      <c r="A17" t="s">
        <v>255</v>
      </c>
      <c r="B17" t="s">
        <v>196</v>
      </c>
      <c r="C17">
        <v>9.7100000000000009</v>
      </c>
      <c r="D17">
        <v>0.02</v>
      </c>
      <c r="E17">
        <f t="shared" si="2"/>
        <v>6.7911740000000007</v>
      </c>
      <c r="F17" t="s">
        <v>120</v>
      </c>
      <c r="G17">
        <v>70675.929999999993</v>
      </c>
      <c r="H17">
        <v>552.17999999999995</v>
      </c>
      <c r="I17" s="20">
        <f t="shared" si="0"/>
        <v>7.0675929999999996</v>
      </c>
      <c r="J17" s="15">
        <f t="shared" si="1"/>
        <v>3.9110769394898548E-2</v>
      </c>
    </row>
    <row r="18" spans="1:10" x14ac:dyDescent="0.2">
      <c r="A18" t="s">
        <v>255</v>
      </c>
      <c r="B18" t="s">
        <v>196</v>
      </c>
      <c r="C18">
        <v>9.7100000000000009</v>
      </c>
      <c r="D18">
        <v>0.02</v>
      </c>
      <c r="E18">
        <f t="shared" si="2"/>
        <v>6.7911740000000007</v>
      </c>
      <c r="F18" t="s">
        <v>121</v>
      </c>
      <c r="G18">
        <v>70941.919999999998</v>
      </c>
      <c r="H18">
        <v>571.24</v>
      </c>
      <c r="I18" s="20">
        <f t="shared" si="0"/>
        <v>7.0941919999999996</v>
      </c>
      <c r="J18" s="15">
        <f t="shared" si="1"/>
        <v>4.2713532422014922E-2</v>
      </c>
    </row>
    <row r="19" spans="1:10" x14ac:dyDescent="0.2">
      <c r="A19" t="s">
        <v>254</v>
      </c>
      <c r="B19" t="s">
        <v>309</v>
      </c>
      <c r="E19">
        <v>4.8872169999999997</v>
      </c>
      <c r="F19" t="s">
        <v>122</v>
      </c>
      <c r="G19">
        <v>48206.78</v>
      </c>
      <c r="H19">
        <v>392.03</v>
      </c>
      <c r="I19" s="20">
        <f t="shared" si="0"/>
        <v>4.820678</v>
      </c>
      <c r="J19" s="15">
        <f t="shared" si="1"/>
        <v>-1.3802830224296292E-2</v>
      </c>
    </row>
    <row r="20" spans="1:10" x14ac:dyDescent="0.2">
      <c r="A20" t="s">
        <v>254</v>
      </c>
      <c r="B20" t="s">
        <v>309</v>
      </c>
      <c r="E20">
        <v>4.8872169999999997</v>
      </c>
      <c r="F20" t="s">
        <v>123</v>
      </c>
      <c r="G20">
        <v>48082.96</v>
      </c>
      <c r="H20">
        <v>425.66</v>
      </c>
      <c r="I20" s="20">
        <f t="shared" si="0"/>
        <v>4.8082960000000003</v>
      </c>
      <c r="J20" s="15">
        <f t="shared" si="1"/>
        <v>-1.6413506988754323E-2</v>
      </c>
    </row>
    <row r="21" spans="1:10" x14ac:dyDescent="0.2">
      <c r="A21" t="s">
        <v>254</v>
      </c>
      <c r="B21" t="s">
        <v>309</v>
      </c>
      <c r="E21">
        <v>4.8872169999999997</v>
      </c>
      <c r="F21" t="s">
        <v>124</v>
      </c>
      <c r="G21">
        <v>48569.98</v>
      </c>
      <c r="H21">
        <v>426.5</v>
      </c>
      <c r="I21" s="20">
        <f t="shared" si="0"/>
        <v>4.8569979999999999</v>
      </c>
      <c r="J21" s="15">
        <f t="shared" si="1"/>
        <v>-6.2217443779057913E-3</v>
      </c>
    </row>
    <row r="22" spans="1:10" x14ac:dyDescent="0.2">
      <c r="A22" t="s">
        <v>327</v>
      </c>
      <c r="B22" t="s">
        <v>326</v>
      </c>
      <c r="C22">
        <v>3.6</v>
      </c>
      <c r="E22">
        <f t="shared" ref="E22:E30" si="3">C22</f>
        <v>3.6</v>
      </c>
      <c r="F22" t="s">
        <v>131</v>
      </c>
      <c r="G22">
        <v>32251.82</v>
      </c>
      <c r="H22">
        <v>323.29000000000002</v>
      </c>
      <c r="I22" s="20">
        <f t="shared" si="0"/>
        <v>3.2251819999999998</v>
      </c>
      <c r="J22" s="15">
        <f t="shared" si="1"/>
        <v>-0.11621607710820681</v>
      </c>
    </row>
    <row r="23" spans="1:10" x14ac:dyDescent="0.2">
      <c r="A23" t="s">
        <v>327</v>
      </c>
      <c r="B23" t="s">
        <v>326</v>
      </c>
      <c r="C23">
        <v>3.6</v>
      </c>
      <c r="E23">
        <f t="shared" si="3"/>
        <v>3.6</v>
      </c>
      <c r="F23" t="s">
        <v>132</v>
      </c>
      <c r="G23">
        <v>32371.05</v>
      </c>
      <c r="H23">
        <v>322.18</v>
      </c>
      <c r="I23" s="20">
        <f t="shared" si="0"/>
        <v>3.2371050000000001</v>
      </c>
      <c r="J23" s="15">
        <f t="shared" si="1"/>
        <v>-0.11210479734206946</v>
      </c>
    </row>
    <row r="24" spans="1:10" x14ac:dyDescent="0.2">
      <c r="A24" t="s">
        <v>327</v>
      </c>
      <c r="B24" t="s">
        <v>326</v>
      </c>
      <c r="C24">
        <v>3.6</v>
      </c>
      <c r="E24">
        <f t="shared" si="3"/>
        <v>3.6</v>
      </c>
      <c r="F24" t="s">
        <v>133</v>
      </c>
      <c r="G24">
        <v>32173.75</v>
      </c>
      <c r="H24">
        <v>312.7</v>
      </c>
      <c r="I24" s="20">
        <f t="shared" si="0"/>
        <v>3.2173750000000001</v>
      </c>
      <c r="J24" s="15">
        <f t="shared" si="1"/>
        <v>-0.11892458914487736</v>
      </c>
    </row>
    <row r="25" spans="1:10" x14ac:dyDescent="0.2">
      <c r="A25" t="s">
        <v>328</v>
      </c>
      <c r="B25" t="s">
        <v>46</v>
      </c>
      <c r="C25">
        <v>3.97</v>
      </c>
      <c r="E25">
        <f t="shared" si="3"/>
        <v>3.97</v>
      </c>
      <c r="F25" t="s">
        <v>134</v>
      </c>
      <c r="G25">
        <v>41844.92</v>
      </c>
      <c r="H25">
        <v>365.86</v>
      </c>
      <c r="I25" s="20">
        <f t="shared" si="0"/>
        <v>4.1844919999999997</v>
      </c>
      <c r="J25" s="15">
        <f t="shared" si="1"/>
        <v>5.1258790792287234E-2</v>
      </c>
    </row>
    <row r="26" spans="1:10" x14ac:dyDescent="0.2">
      <c r="A26" t="s">
        <v>328</v>
      </c>
      <c r="B26" t="s">
        <v>46</v>
      </c>
      <c r="C26">
        <v>3.97</v>
      </c>
      <c r="E26">
        <f t="shared" si="3"/>
        <v>3.97</v>
      </c>
      <c r="F26" t="s">
        <v>136</v>
      </c>
      <c r="G26">
        <v>41718.339999999997</v>
      </c>
      <c r="H26">
        <v>368.26</v>
      </c>
      <c r="I26" s="20">
        <f t="shared" si="0"/>
        <v>4.1718339999999996</v>
      </c>
      <c r="J26" s="15">
        <f t="shared" si="1"/>
        <v>4.8380160859708088E-2</v>
      </c>
    </row>
    <row r="27" spans="1:10" x14ac:dyDescent="0.2">
      <c r="A27" t="s">
        <v>328</v>
      </c>
      <c r="B27" t="s">
        <v>46</v>
      </c>
      <c r="C27">
        <v>3.97</v>
      </c>
      <c r="E27">
        <f t="shared" si="3"/>
        <v>3.97</v>
      </c>
      <c r="F27" t="s">
        <v>137</v>
      </c>
      <c r="G27">
        <v>41907.269999999997</v>
      </c>
      <c r="H27">
        <v>387.75</v>
      </c>
      <c r="I27" s="20">
        <f t="shared" si="0"/>
        <v>4.1907269999999999</v>
      </c>
      <c r="J27" s="15">
        <f t="shared" si="1"/>
        <v>5.2670336197036871E-2</v>
      </c>
    </row>
    <row r="28" spans="1:10" x14ac:dyDescent="0.2">
      <c r="A28" t="s">
        <v>210</v>
      </c>
      <c r="B28" t="s">
        <v>46</v>
      </c>
      <c r="C28">
        <v>3.36</v>
      </c>
      <c r="D28">
        <v>7.0000000000000007E-2</v>
      </c>
      <c r="E28">
        <f t="shared" si="3"/>
        <v>3.36</v>
      </c>
      <c r="F28" t="s">
        <v>262</v>
      </c>
      <c r="G28">
        <v>35174.22</v>
      </c>
      <c r="H28">
        <v>328.39</v>
      </c>
      <c r="I28" s="20">
        <f t="shared" si="0"/>
        <v>3.5174220000000003</v>
      </c>
      <c r="J28" s="15">
        <f t="shared" si="1"/>
        <v>4.4754936996470818E-2</v>
      </c>
    </row>
    <row r="29" spans="1:10" x14ac:dyDescent="0.2">
      <c r="A29" t="s">
        <v>210</v>
      </c>
      <c r="B29" t="s">
        <v>46</v>
      </c>
      <c r="C29">
        <v>3.36</v>
      </c>
      <c r="D29">
        <v>7.0000000000000007E-2</v>
      </c>
      <c r="E29">
        <f t="shared" si="3"/>
        <v>3.36</v>
      </c>
      <c r="F29" t="s">
        <v>263</v>
      </c>
      <c r="G29">
        <v>34979.980000000003</v>
      </c>
      <c r="H29">
        <v>344.9</v>
      </c>
      <c r="I29" s="20">
        <f t="shared" si="0"/>
        <v>3.4979980000000004</v>
      </c>
      <c r="J29" s="15">
        <f t="shared" si="1"/>
        <v>3.9450565723594067E-2</v>
      </c>
    </row>
    <row r="30" spans="1:10" x14ac:dyDescent="0.2">
      <c r="A30" t="s">
        <v>210</v>
      </c>
      <c r="B30" t="s">
        <v>46</v>
      </c>
      <c r="C30">
        <v>3.36</v>
      </c>
      <c r="D30">
        <v>7.0000000000000007E-2</v>
      </c>
      <c r="E30">
        <f t="shared" si="3"/>
        <v>3.36</v>
      </c>
      <c r="F30" t="s">
        <v>264</v>
      </c>
      <c r="G30">
        <v>34945.919999999998</v>
      </c>
      <c r="H30">
        <v>325.54000000000002</v>
      </c>
      <c r="I30" s="20">
        <f t="shared" si="0"/>
        <v>3.4945919999999999</v>
      </c>
      <c r="J30" s="15">
        <f t="shared" si="1"/>
        <v>3.8514367342453726E-2</v>
      </c>
    </row>
  </sheetData>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ADA5D-039D-2E4D-8874-51B3749F0D2D}">
  <dimension ref="A1"/>
  <sheetViews>
    <sheetView topLeftCell="A2" workbookViewId="0"/>
  </sheetViews>
  <sheetFormatPr baseColWidth="10" defaultRowHeight="1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F61"/>
  <sheetViews>
    <sheetView topLeftCell="A37" workbookViewId="0">
      <selection activeCell="B28" sqref="B28"/>
    </sheetView>
  </sheetViews>
  <sheetFormatPr baseColWidth="10" defaultColWidth="8.83203125" defaultRowHeight="15" x14ac:dyDescent="0.2"/>
  <cols>
    <col min="2" max="2" width="13.6640625" customWidth="1"/>
    <col min="3" max="3" width="14.5" customWidth="1"/>
    <col min="4" max="4" width="13.1640625" customWidth="1"/>
    <col min="5" max="5" width="12" bestFit="1" customWidth="1"/>
  </cols>
  <sheetData>
    <row r="2" spans="1:6" x14ac:dyDescent="0.2">
      <c r="A2" t="s">
        <v>209</v>
      </c>
      <c r="B2" t="s">
        <v>210</v>
      </c>
      <c r="C2" t="s">
        <v>211</v>
      </c>
      <c r="D2" t="s">
        <v>212</v>
      </c>
      <c r="E2" t="s">
        <v>213</v>
      </c>
      <c r="F2" t="s">
        <v>131</v>
      </c>
    </row>
    <row r="3" spans="1:6" ht="64" x14ac:dyDescent="0.2">
      <c r="A3" t="s">
        <v>214</v>
      </c>
      <c r="B3" s="3" t="s">
        <v>215</v>
      </c>
      <c r="C3" s="3" t="s">
        <v>216</v>
      </c>
      <c r="D3" s="3" t="s">
        <v>217</v>
      </c>
    </row>
    <row r="4" spans="1:6" x14ac:dyDescent="0.2">
      <c r="A4" s="4" t="s">
        <v>92</v>
      </c>
      <c r="B4" s="5">
        <f>7.37</f>
        <v>7.37</v>
      </c>
      <c r="C4" s="5" t="s">
        <v>218</v>
      </c>
      <c r="D4" s="6" t="s">
        <v>218</v>
      </c>
    </row>
    <row r="5" spans="1:6" x14ac:dyDescent="0.2">
      <c r="A5" s="7" t="s">
        <v>219</v>
      </c>
      <c r="B5">
        <v>0.16</v>
      </c>
      <c r="C5" t="s">
        <v>218</v>
      </c>
      <c r="D5" s="8" t="s">
        <v>218</v>
      </c>
    </row>
    <row r="6" spans="1:6" x14ac:dyDescent="0.2">
      <c r="A6" s="7" t="s">
        <v>76</v>
      </c>
      <c r="B6" t="s">
        <v>218</v>
      </c>
      <c r="C6">
        <f>500/10^6</f>
        <v>5.0000000000000001E-4</v>
      </c>
      <c r="D6" s="8" t="s">
        <v>218</v>
      </c>
    </row>
    <row r="7" spans="1:6" x14ac:dyDescent="0.2">
      <c r="A7" s="7" t="s">
        <v>220</v>
      </c>
      <c r="B7" t="s">
        <v>218</v>
      </c>
      <c r="C7" t="s">
        <v>218</v>
      </c>
      <c r="D7" s="8" t="s">
        <v>218</v>
      </c>
    </row>
    <row r="8" spans="1:6" x14ac:dyDescent="0.2">
      <c r="A8" s="7" t="s">
        <v>32</v>
      </c>
      <c r="B8">
        <f>10.5/10^6</f>
        <v>1.0499999999999999E-5</v>
      </c>
      <c r="C8">
        <f>500/10^6</f>
        <v>5.0000000000000001E-4</v>
      </c>
      <c r="D8" s="8">
        <f>111/10^6</f>
        <v>1.11E-4</v>
      </c>
    </row>
    <row r="9" spans="1:6" x14ac:dyDescent="0.2">
      <c r="A9" s="7" t="s">
        <v>221</v>
      </c>
      <c r="B9">
        <f>0.3/10^6</f>
        <v>2.9999999999999999E-7</v>
      </c>
      <c r="C9" t="s">
        <v>218</v>
      </c>
      <c r="D9" s="8" t="s">
        <v>218</v>
      </c>
    </row>
    <row r="10" spans="1:6" x14ac:dyDescent="0.2">
      <c r="A10" s="7" t="s">
        <v>64</v>
      </c>
      <c r="B10">
        <f>979/10^6</f>
        <v>9.7900000000000005E-4</v>
      </c>
      <c r="C10">
        <f>630/10^6</f>
        <v>6.3000000000000003E-4</v>
      </c>
      <c r="D10" s="8">
        <f>395/10^6</f>
        <v>3.9500000000000001E-4</v>
      </c>
    </row>
    <row r="11" spans="1:6" x14ac:dyDescent="0.2">
      <c r="A11" s="7" t="s">
        <v>222</v>
      </c>
      <c r="B11">
        <f>28/10^6</f>
        <v>2.8E-5</v>
      </c>
      <c r="C11" t="s">
        <v>218</v>
      </c>
      <c r="D11" s="8" t="s">
        <v>218</v>
      </c>
    </row>
    <row r="12" spans="1:6" x14ac:dyDescent="0.2">
      <c r="A12" s="7" t="s">
        <v>80</v>
      </c>
      <c r="D12" s="8"/>
      <c r="E12">
        <f>53.26/10^6</f>
        <v>5.3259999999999995E-5</v>
      </c>
    </row>
    <row r="13" spans="1:6" x14ac:dyDescent="0.2">
      <c r="A13" s="7" t="s">
        <v>223</v>
      </c>
      <c r="D13" s="8"/>
      <c r="E13">
        <f>0.135/10^6</f>
        <v>1.35E-7</v>
      </c>
    </row>
    <row r="14" spans="1:6" x14ac:dyDescent="0.2">
      <c r="A14" s="9" t="s">
        <v>58</v>
      </c>
      <c r="B14">
        <v>1.91</v>
      </c>
      <c r="C14" t="s">
        <v>218</v>
      </c>
      <c r="D14" s="8" t="s">
        <v>218</v>
      </c>
    </row>
    <row r="15" spans="1:6" x14ac:dyDescent="0.2">
      <c r="A15" s="7" t="s">
        <v>224</v>
      </c>
      <c r="B15">
        <v>0.09</v>
      </c>
      <c r="C15" t="s">
        <v>218</v>
      </c>
      <c r="D15" s="8" t="s">
        <v>218</v>
      </c>
    </row>
    <row r="16" spans="1:6" x14ac:dyDescent="0.2">
      <c r="A16" s="7" t="s">
        <v>74</v>
      </c>
      <c r="B16">
        <f>0.371/10^6</f>
        <v>3.7099999999999997E-7</v>
      </c>
      <c r="C16">
        <f>500/10^6</f>
        <v>5.0000000000000001E-4</v>
      </c>
      <c r="D16" s="8" t="s">
        <v>218</v>
      </c>
    </row>
    <row r="17" spans="1:4" x14ac:dyDescent="0.2">
      <c r="A17" s="7" t="s">
        <v>225</v>
      </c>
      <c r="B17">
        <f>0.002/10^6</f>
        <v>2.0000000000000001E-9</v>
      </c>
      <c r="C17" t="s">
        <v>218</v>
      </c>
      <c r="D17" s="8" t="s">
        <v>218</v>
      </c>
    </row>
    <row r="18" spans="1:4" x14ac:dyDescent="0.2">
      <c r="A18" s="7" t="s">
        <v>226</v>
      </c>
      <c r="B18">
        <f>42/10^6</f>
        <v>4.1999999999999998E-5</v>
      </c>
      <c r="C18" t="s">
        <v>218</v>
      </c>
      <c r="D18" s="8" t="s">
        <v>218</v>
      </c>
    </row>
    <row r="19" spans="1:4" x14ac:dyDescent="0.2">
      <c r="A19" s="7" t="s">
        <v>227</v>
      </c>
      <c r="B19">
        <f>1/10^6</f>
        <v>9.9999999999999995E-7</v>
      </c>
      <c r="C19" t="s">
        <v>218</v>
      </c>
      <c r="D19" s="8" t="s">
        <v>218</v>
      </c>
    </row>
    <row r="20" spans="1:4" x14ac:dyDescent="0.2">
      <c r="A20" s="7" t="s">
        <v>228</v>
      </c>
      <c r="B20">
        <f>12.8/10^6</f>
        <v>1.2800000000000001E-5</v>
      </c>
      <c r="C20" t="s">
        <v>218</v>
      </c>
      <c r="D20" s="8" t="s">
        <v>218</v>
      </c>
    </row>
    <row r="21" spans="1:4" x14ac:dyDescent="0.2">
      <c r="A21" s="7" t="s">
        <v>229</v>
      </c>
      <c r="B21">
        <f>0.2/10^6</f>
        <v>2.0000000000000002E-7</v>
      </c>
      <c r="C21" t="s">
        <v>218</v>
      </c>
      <c r="D21" s="8" t="s">
        <v>218</v>
      </c>
    </row>
    <row r="22" spans="1:4" x14ac:dyDescent="0.2">
      <c r="A22" s="7" t="s">
        <v>230</v>
      </c>
      <c r="B22">
        <f>130/10^6</f>
        <v>1.2999999999999999E-4</v>
      </c>
      <c r="C22">
        <f>500/10^6</f>
        <v>5.0000000000000001E-4</v>
      </c>
      <c r="D22" s="8" t="s">
        <v>218</v>
      </c>
    </row>
    <row r="23" spans="1:4" x14ac:dyDescent="0.2">
      <c r="A23" s="7" t="s">
        <v>231</v>
      </c>
      <c r="B23">
        <f>9/10^6</f>
        <v>9.0000000000000002E-6</v>
      </c>
      <c r="C23" t="s">
        <v>218</v>
      </c>
      <c r="D23" s="8" t="s">
        <v>218</v>
      </c>
    </row>
    <row r="24" spans="1:4" x14ac:dyDescent="0.2">
      <c r="A24" s="7" t="s">
        <v>232</v>
      </c>
      <c r="B24">
        <f>5/10^6</f>
        <v>5.0000000000000004E-6</v>
      </c>
      <c r="C24" t="s">
        <v>218</v>
      </c>
      <c r="D24" s="8" t="s">
        <v>218</v>
      </c>
    </row>
    <row r="25" spans="1:4" x14ac:dyDescent="0.2">
      <c r="A25" s="7" t="s">
        <v>233</v>
      </c>
      <c r="B25">
        <f>0.1/10^6</f>
        <v>1.0000000000000001E-7</v>
      </c>
      <c r="C25" t="s">
        <v>218</v>
      </c>
      <c r="D25" s="8" t="s">
        <v>218</v>
      </c>
    </row>
    <row r="26" spans="1:4" x14ac:dyDescent="0.2">
      <c r="A26" s="7" t="s">
        <v>40</v>
      </c>
      <c r="B26">
        <f>33.9/10^6</f>
        <v>3.3899999999999997E-5</v>
      </c>
      <c r="C26" t="s">
        <v>218</v>
      </c>
      <c r="D26" s="8" t="s">
        <v>218</v>
      </c>
    </row>
    <row r="27" spans="1:4" x14ac:dyDescent="0.2">
      <c r="A27" s="7" t="s">
        <v>234</v>
      </c>
      <c r="B27">
        <f>0.5/10^6</f>
        <v>4.9999999999999998E-7</v>
      </c>
      <c r="C27" t="s">
        <v>218</v>
      </c>
      <c r="D27" s="8" t="s">
        <v>218</v>
      </c>
    </row>
    <row r="28" spans="1:4" x14ac:dyDescent="0.2">
      <c r="A28" s="7" t="s">
        <v>155</v>
      </c>
      <c r="B28">
        <f>0.83/10^6</f>
        <v>8.2999999999999999E-7</v>
      </c>
      <c r="C28" t="s">
        <v>218</v>
      </c>
      <c r="D28" s="8" t="s">
        <v>218</v>
      </c>
    </row>
    <row r="29" spans="1:4" x14ac:dyDescent="0.2">
      <c r="A29" s="7" t="s">
        <v>235</v>
      </c>
      <c r="B29">
        <f>0.02/10^6</f>
        <v>2E-8</v>
      </c>
      <c r="C29" t="s">
        <v>218</v>
      </c>
      <c r="D29" s="8" t="s">
        <v>218</v>
      </c>
    </row>
    <row r="30" spans="1:4" x14ac:dyDescent="0.2">
      <c r="A30" s="10" t="s">
        <v>46</v>
      </c>
      <c r="B30">
        <v>3.36</v>
      </c>
      <c r="C30" t="s">
        <v>218</v>
      </c>
      <c r="D30" s="8" t="s">
        <v>218</v>
      </c>
    </row>
    <row r="31" spans="1:4" x14ac:dyDescent="0.2">
      <c r="A31" s="11" t="s">
        <v>236</v>
      </c>
      <c r="B31">
        <v>7.0000000000000007E-2</v>
      </c>
      <c r="C31" t="s">
        <v>218</v>
      </c>
      <c r="D31" s="8" t="s">
        <v>218</v>
      </c>
    </row>
    <row r="32" spans="1:4" x14ac:dyDescent="0.2">
      <c r="A32" s="7" t="s">
        <v>157</v>
      </c>
      <c r="B32">
        <f>3/10^6</f>
        <v>3.0000000000000001E-6</v>
      </c>
      <c r="C32" t="s">
        <v>218</v>
      </c>
      <c r="D32" s="8" t="s">
        <v>218</v>
      </c>
    </row>
    <row r="33" spans="1:4" x14ac:dyDescent="0.2">
      <c r="A33" s="7" t="s">
        <v>237</v>
      </c>
      <c r="B33">
        <f>0.1/10^6</f>
        <v>1.0000000000000001E-7</v>
      </c>
      <c r="C33" t="s">
        <v>218</v>
      </c>
      <c r="D33" s="8" t="s">
        <v>218</v>
      </c>
    </row>
    <row r="34" spans="1:4" x14ac:dyDescent="0.2">
      <c r="A34" s="7" t="s">
        <v>60</v>
      </c>
      <c r="B34">
        <v>2.11</v>
      </c>
      <c r="C34" t="s">
        <v>218</v>
      </c>
      <c r="D34" s="8" t="s">
        <v>218</v>
      </c>
    </row>
    <row r="35" spans="1:4" x14ac:dyDescent="0.2">
      <c r="A35" s="7" t="s">
        <v>238</v>
      </c>
      <c r="B35">
        <v>0.06</v>
      </c>
      <c r="C35" t="s">
        <v>218</v>
      </c>
      <c r="D35" s="8" t="s">
        <v>218</v>
      </c>
    </row>
    <row r="36" spans="1:4" x14ac:dyDescent="0.2">
      <c r="A36" s="7" t="s">
        <v>159</v>
      </c>
      <c r="B36">
        <f>21.7/10^6</f>
        <v>2.1699999999999999E-5</v>
      </c>
      <c r="C36" t="s">
        <v>218</v>
      </c>
      <c r="D36" s="8" t="s">
        <v>218</v>
      </c>
    </row>
    <row r="37" spans="1:4" x14ac:dyDescent="0.2">
      <c r="A37" s="7" t="s">
        <v>239</v>
      </c>
      <c r="B37">
        <f>0.4/10^6</f>
        <v>4.0000000000000003E-7</v>
      </c>
      <c r="C37" t="s">
        <v>218</v>
      </c>
      <c r="D37" s="8" t="s">
        <v>218</v>
      </c>
    </row>
    <row r="38" spans="1:4" x14ac:dyDescent="0.2">
      <c r="A38" s="7" t="s">
        <v>100</v>
      </c>
      <c r="B38">
        <v>1.46</v>
      </c>
      <c r="C38" t="s">
        <v>218</v>
      </c>
      <c r="D38" s="8" t="s">
        <v>218</v>
      </c>
    </row>
    <row r="39" spans="1:4" x14ac:dyDescent="0.2">
      <c r="A39" s="7" t="s">
        <v>101</v>
      </c>
      <c r="B39">
        <v>0.02</v>
      </c>
      <c r="C39" t="s">
        <v>218</v>
      </c>
      <c r="D39" s="8" t="s">
        <v>218</v>
      </c>
    </row>
    <row r="40" spans="1:4" x14ac:dyDescent="0.2">
      <c r="A40" s="7" t="s">
        <v>48</v>
      </c>
      <c r="B40">
        <f>529/10^6</f>
        <v>5.2899999999999996E-4</v>
      </c>
      <c r="C40" t="s">
        <v>218</v>
      </c>
      <c r="D40" s="8" t="s">
        <v>218</v>
      </c>
    </row>
    <row r="41" spans="1:4" x14ac:dyDescent="0.2">
      <c r="A41" s="7" t="s">
        <v>240</v>
      </c>
      <c r="B41">
        <f>18/10^6</f>
        <v>1.8E-5</v>
      </c>
      <c r="C41" t="s">
        <v>218</v>
      </c>
      <c r="D41" s="8" t="s">
        <v>218</v>
      </c>
    </row>
    <row r="42" spans="1:4" x14ac:dyDescent="0.2">
      <c r="A42" s="7" t="s">
        <v>148</v>
      </c>
      <c r="B42">
        <v>1.22</v>
      </c>
      <c r="C42" t="s">
        <v>218</v>
      </c>
      <c r="D42" s="8" t="s">
        <v>218</v>
      </c>
    </row>
    <row r="43" spans="1:4" x14ac:dyDescent="0.2">
      <c r="A43" s="7" t="s">
        <v>241</v>
      </c>
      <c r="B43">
        <v>0.03</v>
      </c>
      <c r="C43" t="s">
        <v>218</v>
      </c>
      <c r="D43" s="8" t="s">
        <v>218</v>
      </c>
    </row>
    <row r="44" spans="1:4" x14ac:dyDescent="0.2">
      <c r="A44" s="7" t="s">
        <v>94</v>
      </c>
      <c r="B44">
        <v>6.88E-2</v>
      </c>
      <c r="C44" t="s">
        <v>218</v>
      </c>
      <c r="D44" s="8" t="s">
        <v>218</v>
      </c>
    </row>
    <row r="45" spans="1:4" x14ac:dyDescent="0.2">
      <c r="A45" s="7" t="s">
        <v>242</v>
      </c>
      <c r="B45">
        <v>1.2999999999999999E-3</v>
      </c>
      <c r="C45" t="s">
        <v>218</v>
      </c>
      <c r="D45" s="8" t="s">
        <v>218</v>
      </c>
    </row>
    <row r="46" spans="1:4" x14ac:dyDescent="0.2">
      <c r="A46" s="7" t="s">
        <v>26</v>
      </c>
      <c r="B46">
        <f>17.3/10^6</f>
        <v>1.73E-5</v>
      </c>
      <c r="C46">
        <f>500/10^6</f>
        <v>5.0000000000000001E-4</v>
      </c>
      <c r="D46" s="8" t="s">
        <v>218</v>
      </c>
    </row>
    <row r="47" spans="1:4" x14ac:dyDescent="0.2">
      <c r="A47" s="7" t="s">
        <v>243</v>
      </c>
      <c r="B47">
        <f>0.1/10^6</f>
        <v>1.0000000000000001E-7</v>
      </c>
      <c r="C47" t="s">
        <v>218</v>
      </c>
      <c r="D47" s="8" t="s">
        <v>218</v>
      </c>
    </row>
    <row r="48" spans="1:4" x14ac:dyDescent="0.2">
      <c r="A48" s="7" t="s">
        <v>70</v>
      </c>
      <c r="B48">
        <f>1.55/10^6</f>
        <v>1.55E-6</v>
      </c>
      <c r="C48" t="s">
        <v>218</v>
      </c>
      <c r="D48" s="8" t="s">
        <v>218</v>
      </c>
    </row>
    <row r="49" spans="1:5" x14ac:dyDescent="0.2">
      <c r="A49" s="7" t="s">
        <v>244</v>
      </c>
      <c r="B49">
        <f>0.06/10^6</f>
        <v>5.9999999999999995E-8</v>
      </c>
      <c r="C49" t="s">
        <v>218</v>
      </c>
      <c r="D49" s="8" t="s">
        <v>218</v>
      </c>
    </row>
    <row r="50" spans="1:5" x14ac:dyDescent="0.2">
      <c r="A50" s="7" t="s">
        <v>30</v>
      </c>
      <c r="C50">
        <f>500/10^6</f>
        <v>5.0000000000000001E-4</v>
      </c>
      <c r="D50" s="8" t="s">
        <v>218</v>
      </c>
    </row>
    <row r="51" spans="1:5" x14ac:dyDescent="0.2">
      <c r="A51" s="7" t="s">
        <v>245</v>
      </c>
      <c r="B51" t="s">
        <v>218</v>
      </c>
      <c r="C51" t="s">
        <v>218</v>
      </c>
      <c r="D51" s="8" t="s">
        <v>218</v>
      </c>
    </row>
    <row r="52" spans="1:5" x14ac:dyDescent="0.2">
      <c r="A52" s="7" t="s">
        <v>96</v>
      </c>
      <c r="B52">
        <v>30.3</v>
      </c>
      <c r="C52" t="s">
        <v>218</v>
      </c>
      <c r="D52" s="8" t="s">
        <v>218</v>
      </c>
      <c r="E52">
        <f>46.74/10^6</f>
        <v>4.6740000000000003E-5</v>
      </c>
    </row>
    <row r="53" spans="1:5" x14ac:dyDescent="0.2">
      <c r="A53" s="7" t="s">
        <v>246</v>
      </c>
      <c r="B53">
        <v>0.4</v>
      </c>
      <c r="C53" t="s">
        <v>218</v>
      </c>
      <c r="D53" s="8" t="s">
        <v>218</v>
      </c>
      <c r="E53">
        <f>0.157/10^6</f>
        <v>1.5699999999999999E-7</v>
      </c>
    </row>
    <row r="54" spans="1:5" x14ac:dyDescent="0.2">
      <c r="A54" s="7" t="s">
        <v>18</v>
      </c>
      <c r="B54">
        <f>239/10^6</f>
        <v>2.3900000000000001E-4</v>
      </c>
      <c r="C54" t="s">
        <v>218</v>
      </c>
      <c r="D54" s="8" t="s">
        <v>218</v>
      </c>
    </row>
    <row r="55" spans="1:5" x14ac:dyDescent="0.2">
      <c r="A55" s="7" t="s">
        <v>247</v>
      </c>
      <c r="B55">
        <f>6/10^6</f>
        <v>6.0000000000000002E-6</v>
      </c>
      <c r="C55" t="s">
        <v>218</v>
      </c>
      <c r="D55" s="8" t="s">
        <v>218</v>
      </c>
    </row>
    <row r="56" spans="1:5" x14ac:dyDescent="0.2">
      <c r="A56" s="7" t="s">
        <v>54</v>
      </c>
      <c r="B56">
        <v>0.33600000000000002</v>
      </c>
      <c r="C56" t="s">
        <v>218</v>
      </c>
      <c r="D56" s="8" t="s">
        <v>218</v>
      </c>
    </row>
    <row r="57" spans="1:5" x14ac:dyDescent="0.2">
      <c r="A57" s="7" t="s">
        <v>248</v>
      </c>
      <c r="B57">
        <v>7.0000000000000001E-3</v>
      </c>
      <c r="C57" t="s">
        <v>218</v>
      </c>
      <c r="D57" s="8" t="s">
        <v>218</v>
      </c>
    </row>
    <row r="58" spans="1:5" x14ac:dyDescent="0.2">
      <c r="A58" s="7" t="s">
        <v>52</v>
      </c>
      <c r="B58">
        <f>110/10^6</f>
        <v>1.1E-4</v>
      </c>
      <c r="C58" t="s">
        <v>218</v>
      </c>
      <c r="D58" s="8" t="s">
        <v>218</v>
      </c>
    </row>
    <row r="59" spans="1:5" x14ac:dyDescent="0.2">
      <c r="A59" s="7" t="s">
        <v>249</v>
      </c>
      <c r="B59">
        <f>11/10^6</f>
        <v>1.1E-5</v>
      </c>
      <c r="C59" t="s">
        <v>218</v>
      </c>
      <c r="D59" s="8" t="s">
        <v>218</v>
      </c>
    </row>
    <row r="60" spans="1:5" x14ac:dyDescent="0.2">
      <c r="A60" s="7" t="s">
        <v>16</v>
      </c>
      <c r="B60">
        <f>195/10^6</f>
        <v>1.95E-4</v>
      </c>
      <c r="C60" t="s">
        <v>218</v>
      </c>
      <c r="D60" s="8" t="s">
        <v>218</v>
      </c>
    </row>
    <row r="61" spans="1:5" x14ac:dyDescent="0.2">
      <c r="A61" s="12" t="s">
        <v>250</v>
      </c>
      <c r="B61" s="13">
        <f>46/10^6</f>
        <v>4.6E-5</v>
      </c>
      <c r="C61" s="13" t="s">
        <v>218</v>
      </c>
      <c r="D61" s="14" t="s">
        <v>218</v>
      </c>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D6596-8580-DF43-8D57-E0449E87CC8F}">
  <dimension ref="A1"/>
  <sheetViews>
    <sheetView workbookViewId="0"/>
  </sheetViews>
  <sheetFormatPr baseColWidth="10" defaultRowHeight="15" x14ac:dyDescent="0.2"/>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E206E-052B-1042-9176-F30EFF576EE4}">
  <dimension ref="A1"/>
  <sheetViews>
    <sheetView workbookViewId="0"/>
  </sheetViews>
  <sheetFormatPr baseColWidth="10" defaultRowHeight="15" x14ac:dyDescent="0.2"/>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271B7-EE4D-C948-88BD-3B5C82E6F813}">
  <dimension ref="A1"/>
  <sheetViews>
    <sheetView workbookViewId="0"/>
  </sheetViews>
  <sheetFormatPr baseColWidth="10" defaultRowHeight="15" x14ac:dyDescent="0.2"/>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4DD95-38B7-124D-9BFC-CC9485B9E345}">
  <dimension ref="A1"/>
  <sheetViews>
    <sheetView workbookViewId="0"/>
  </sheetViews>
  <sheetFormatPr baseColWidth="10" defaultRowHeight="15" x14ac:dyDescent="0.2"/>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777F2-DC93-AA4B-B5E7-9F2F0C15EDFB}">
  <dimension ref="A1"/>
  <sheetViews>
    <sheetView workbookViewId="0"/>
  </sheetViews>
  <sheetFormatPr baseColWidth="10" defaultRowHeight="15" x14ac:dyDescent="0.2"/>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3:J24"/>
  <sheetViews>
    <sheetView topLeftCell="A13" workbookViewId="0">
      <selection activeCell="I4" sqref="I4"/>
    </sheetView>
  </sheetViews>
  <sheetFormatPr baseColWidth="10" defaultColWidth="8.83203125" defaultRowHeight="15" x14ac:dyDescent="0.2"/>
  <cols>
    <col min="2" max="2" width="17.6640625" bestFit="1" customWidth="1"/>
    <col min="5" max="5" width="12.83203125" bestFit="1" customWidth="1"/>
    <col min="6" max="8" width="11" customWidth="1"/>
    <col min="9" max="9" width="17.5" bestFit="1" customWidth="1"/>
  </cols>
  <sheetData>
    <row r="3" spans="1:10" x14ac:dyDescent="0.2">
      <c r="A3" t="s">
        <v>253</v>
      </c>
      <c r="B3" t="s">
        <v>315</v>
      </c>
      <c r="C3" t="s">
        <v>314</v>
      </c>
      <c r="D3" t="s">
        <v>140</v>
      </c>
      <c r="E3" t="s">
        <v>252</v>
      </c>
      <c r="F3" t="s">
        <v>258</v>
      </c>
      <c r="G3" t="s">
        <v>103</v>
      </c>
      <c r="H3" t="s">
        <v>272</v>
      </c>
      <c r="I3" t="s">
        <v>257</v>
      </c>
    </row>
    <row r="4" spans="1:10" x14ac:dyDescent="0.2">
      <c r="A4" t="s">
        <v>260</v>
      </c>
      <c r="B4" t="s">
        <v>36</v>
      </c>
      <c r="C4">
        <v>127</v>
      </c>
      <c r="D4">
        <v>9</v>
      </c>
      <c r="E4">
        <f t="shared" ref="E4:E21" si="0">C4/10^4</f>
        <v>1.2699999999999999E-2</v>
      </c>
      <c r="F4" t="s">
        <v>106</v>
      </c>
      <c r="G4">
        <v>114.46</v>
      </c>
      <c r="H4">
        <v>14.37</v>
      </c>
      <c r="I4" s="20">
        <f>G4/10^4</f>
        <v>1.1446E-2</v>
      </c>
      <c r="J4" s="15">
        <f>1-E4/I4</f>
        <v>-0.10955792416564747</v>
      </c>
    </row>
    <row r="5" spans="1:10" x14ac:dyDescent="0.2">
      <c r="A5" t="s">
        <v>260</v>
      </c>
      <c r="B5" t="s">
        <v>36</v>
      </c>
      <c r="C5">
        <v>127</v>
      </c>
      <c r="D5">
        <v>9</v>
      </c>
      <c r="E5">
        <f t="shared" si="0"/>
        <v>1.2699999999999999E-2</v>
      </c>
      <c r="F5" t="s">
        <v>108</v>
      </c>
      <c r="G5">
        <v>110</v>
      </c>
      <c r="H5">
        <v>12.41</v>
      </c>
      <c r="I5" s="20">
        <f t="shared" ref="I5:I24" si="1">G5/10^4</f>
        <v>1.0999999999999999E-2</v>
      </c>
      <c r="J5" s="15">
        <f t="shared" ref="J5:J24" si="2">1-E5/I5</f>
        <v>-0.15454545454545454</v>
      </c>
    </row>
    <row r="6" spans="1:10" x14ac:dyDescent="0.2">
      <c r="A6" t="s">
        <v>260</v>
      </c>
      <c r="B6" t="s">
        <v>36</v>
      </c>
      <c r="C6">
        <v>127</v>
      </c>
      <c r="D6">
        <v>9</v>
      </c>
      <c r="E6">
        <f t="shared" si="0"/>
        <v>1.2699999999999999E-2</v>
      </c>
      <c r="F6" t="s">
        <v>109</v>
      </c>
      <c r="G6">
        <v>111.72</v>
      </c>
      <c r="H6">
        <v>12.56</v>
      </c>
      <c r="I6" s="20">
        <f t="shared" si="1"/>
        <v>1.1172E-2</v>
      </c>
      <c r="J6" s="15">
        <f t="shared" si="2"/>
        <v>-0.13677049767275329</v>
      </c>
    </row>
    <row r="7" spans="1:10" x14ac:dyDescent="0.2">
      <c r="A7" t="s">
        <v>259</v>
      </c>
      <c r="B7" t="s">
        <v>36</v>
      </c>
      <c r="C7">
        <v>120</v>
      </c>
      <c r="D7">
        <v>10</v>
      </c>
      <c r="E7">
        <f t="shared" si="0"/>
        <v>1.2E-2</v>
      </c>
      <c r="F7" t="s">
        <v>110</v>
      </c>
      <c r="G7">
        <v>93.61</v>
      </c>
      <c r="H7">
        <v>10.16</v>
      </c>
      <c r="I7" s="20">
        <f t="shared" si="1"/>
        <v>9.3609999999999995E-3</v>
      </c>
      <c r="J7" s="15">
        <f t="shared" si="2"/>
        <v>-0.28191432539258643</v>
      </c>
    </row>
    <row r="8" spans="1:10" x14ac:dyDescent="0.2">
      <c r="A8" t="s">
        <v>259</v>
      </c>
      <c r="B8" t="s">
        <v>36</v>
      </c>
      <c r="C8">
        <v>120</v>
      </c>
      <c r="D8">
        <v>10</v>
      </c>
      <c r="E8">
        <f t="shared" si="0"/>
        <v>1.2E-2</v>
      </c>
      <c r="F8" t="s">
        <v>111</v>
      </c>
      <c r="G8">
        <v>110.41</v>
      </c>
      <c r="H8">
        <v>11.25</v>
      </c>
      <c r="I8" s="20">
        <f t="shared" si="1"/>
        <v>1.1041E-2</v>
      </c>
      <c r="J8" s="15">
        <f t="shared" si="2"/>
        <v>-8.6858074449778E-2</v>
      </c>
    </row>
    <row r="9" spans="1:10" x14ac:dyDescent="0.2">
      <c r="A9" t="s">
        <v>259</v>
      </c>
      <c r="B9" t="s">
        <v>36</v>
      </c>
      <c r="C9">
        <v>120</v>
      </c>
      <c r="D9">
        <v>10</v>
      </c>
      <c r="E9">
        <f t="shared" si="0"/>
        <v>1.2E-2</v>
      </c>
      <c r="F9" t="s">
        <v>112</v>
      </c>
      <c r="G9">
        <v>96.76</v>
      </c>
      <c r="H9">
        <v>9.81</v>
      </c>
      <c r="I9" s="20">
        <f t="shared" si="1"/>
        <v>9.6760000000000006E-3</v>
      </c>
      <c r="J9" s="15">
        <f t="shared" si="2"/>
        <v>-0.24018189334435713</v>
      </c>
    </row>
    <row r="10" spans="1:10" x14ac:dyDescent="0.2">
      <c r="A10" t="s">
        <v>113</v>
      </c>
      <c r="B10" t="s">
        <v>36</v>
      </c>
      <c r="C10">
        <v>86</v>
      </c>
      <c r="D10">
        <v>8</v>
      </c>
      <c r="E10">
        <f t="shared" si="0"/>
        <v>8.6E-3</v>
      </c>
      <c r="F10" t="s">
        <v>113</v>
      </c>
      <c r="G10">
        <v>73.239999999999995</v>
      </c>
      <c r="H10">
        <v>10.16</v>
      </c>
      <c r="I10" s="20">
        <f t="shared" si="1"/>
        <v>7.3239999999999998E-3</v>
      </c>
      <c r="J10" s="15">
        <f t="shared" si="2"/>
        <v>-0.17422173675587116</v>
      </c>
    </row>
    <row r="11" spans="1:10" x14ac:dyDescent="0.2">
      <c r="A11" t="s">
        <v>113</v>
      </c>
      <c r="B11" t="s">
        <v>36</v>
      </c>
      <c r="C11">
        <v>86</v>
      </c>
      <c r="D11">
        <v>8</v>
      </c>
      <c r="E11">
        <f t="shared" si="0"/>
        <v>8.6E-3</v>
      </c>
      <c r="F11" t="s">
        <v>114</v>
      </c>
      <c r="G11">
        <v>66.83</v>
      </c>
      <c r="H11">
        <v>9.94</v>
      </c>
      <c r="I11" s="20">
        <f t="shared" si="1"/>
        <v>6.6829999999999997E-3</v>
      </c>
      <c r="J11" s="15">
        <f t="shared" si="2"/>
        <v>-0.28684722430046383</v>
      </c>
    </row>
    <row r="12" spans="1:10" x14ac:dyDescent="0.2">
      <c r="A12" t="s">
        <v>113</v>
      </c>
      <c r="B12" t="s">
        <v>36</v>
      </c>
      <c r="C12">
        <v>86</v>
      </c>
      <c r="D12">
        <v>8</v>
      </c>
      <c r="E12">
        <f t="shared" si="0"/>
        <v>8.6E-3</v>
      </c>
      <c r="F12" t="s">
        <v>115</v>
      </c>
      <c r="G12">
        <v>66.53</v>
      </c>
      <c r="H12">
        <v>10.5</v>
      </c>
      <c r="I12" s="20">
        <f t="shared" si="1"/>
        <v>6.6530000000000001E-3</v>
      </c>
      <c r="J12" s="15">
        <f t="shared" si="2"/>
        <v>-0.29264993236134074</v>
      </c>
    </row>
    <row r="13" spans="1:10" x14ac:dyDescent="0.2">
      <c r="A13" t="s">
        <v>256</v>
      </c>
      <c r="B13" t="s">
        <v>36</v>
      </c>
      <c r="C13">
        <v>1600</v>
      </c>
      <c r="D13">
        <v>6</v>
      </c>
      <c r="E13">
        <f t="shared" si="0"/>
        <v>0.16</v>
      </c>
      <c r="F13" t="s">
        <v>116</v>
      </c>
      <c r="G13">
        <v>1241.54</v>
      </c>
      <c r="H13">
        <v>56.09</v>
      </c>
      <c r="I13" s="20">
        <f t="shared" si="1"/>
        <v>0.124154</v>
      </c>
      <c r="J13" s="15">
        <f t="shared" si="2"/>
        <v>-0.28872207097636804</v>
      </c>
    </row>
    <row r="14" spans="1:10" x14ac:dyDescent="0.2">
      <c r="A14" t="s">
        <v>256</v>
      </c>
      <c r="B14" t="s">
        <v>36</v>
      </c>
      <c r="C14">
        <v>1600</v>
      </c>
      <c r="D14">
        <v>6</v>
      </c>
      <c r="E14">
        <f t="shared" si="0"/>
        <v>0.16</v>
      </c>
      <c r="F14" t="s">
        <v>117</v>
      </c>
      <c r="G14">
        <v>1223.05</v>
      </c>
      <c r="H14">
        <v>55.32</v>
      </c>
      <c r="I14" s="20">
        <f t="shared" si="1"/>
        <v>0.122305</v>
      </c>
      <c r="J14" s="15">
        <f t="shared" si="2"/>
        <v>-0.30820489759208547</v>
      </c>
    </row>
    <row r="15" spans="1:10" x14ac:dyDescent="0.2">
      <c r="A15" t="s">
        <v>256</v>
      </c>
      <c r="B15" t="s">
        <v>36</v>
      </c>
      <c r="C15">
        <v>1600</v>
      </c>
      <c r="D15">
        <v>6</v>
      </c>
      <c r="E15">
        <f t="shared" si="0"/>
        <v>0.16</v>
      </c>
      <c r="F15" t="s">
        <v>118</v>
      </c>
      <c r="G15">
        <v>1059.31</v>
      </c>
      <c r="H15">
        <v>49.99</v>
      </c>
      <c r="I15" s="20">
        <f t="shared" si="1"/>
        <v>0.105931</v>
      </c>
      <c r="J15" s="15">
        <f t="shared" si="2"/>
        <v>-0.51041715833891876</v>
      </c>
    </row>
    <row r="16" spans="1:10" x14ac:dyDescent="0.2">
      <c r="A16" t="s">
        <v>255</v>
      </c>
      <c r="B16" t="s">
        <v>36</v>
      </c>
      <c r="C16">
        <v>186</v>
      </c>
      <c r="D16">
        <v>1.7</v>
      </c>
      <c r="E16">
        <f t="shared" si="0"/>
        <v>1.8599999999999998E-2</v>
      </c>
      <c r="F16" t="s">
        <v>119</v>
      </c>
      <c r="G16">
        <v>181.48</v>
      </c>
      <c r="H16">
        <v>14.45</v>
      </c>
      <c r="I16" s="20">
        <f t="shared" si="1"/>
        <v>1.8147999999999997E-2</v>
      </c>
      <c r="J16" s="15">
        <f t="shared" si="2"/>
        <v>-2.4906325765924775E-2</v>
      </c>
    </row>
    <row r="17" spans="1:10" x14ac:dyDescent="0.2">
      <c r="A17" t="s">
        <v>255</v>
      </c>
      <c r="B17" t="s">
        <v>36</v>
      </c>
      <c r="C17">
        <v>186</v>
      </c>
      <c r="D17">
        <v>1.7</v>
      </c>
      <c r="E17">
        <f t="shared" si="0"/>
        <v>1.8599999999999998E-2</v>
      </c>
      <c r="F17" t="s">
        <v>120</v>
      </c>
      <c r="G17">
        <v>175.39</v>
      </c>
      <c r="H17">
        <v>14.09</v>
      </c>
      <c r="I17" s="20">
        <f t="shared" si="1"/>
        <v>1.7538999999999999E-2</v>
      </c>
      <c r="J17" s="15">
        <f t="shared" si="2"/>
        <v>-6.0493756770625406E-2</v>
      </c>
    </row>
    <row r="18" spans="1:10" x14ac:dyDescent="0.2">
      <c r="A18" t="s">
        <v>255</v>
      </c>
      <c r="B18" t="s">
        <v>36</v>
      </c>
      <c r="C18">
        <v>186</v>
      </c>
      <c r="D18">
        <v>1.7</v>
      </c>
      <c r="E18">
        <f t="shared" si="0"/>
        <v>1.8599999999999998E-2</v>
      </c>
      <c r="F18" t="s">
        <v>121</v>
      </c>
      <c r="G18">
        <v>194.33</v>
      </c>
      <c r="H18">
        <v>14.98</v>
      </c>
      <c r="I18" s="20">
        <f t="shared" si="1"/>
        <v>1.9433000000000002E-2</v>
      </c>
      <c r="J18" s="15">
        <f t="shared" si="2"/>
        <v>4.2865229249215431E-2</v>
      </c>
    </row>
    <row r="19" spans="1:10" x14ac:dyDescent="0.2">
      <c r="A19" t="s">
        <v>254</v>
      </c>
      <c r="B19" t="s">
        <v>36</v>
      </c>
      <c r="C19">
        <v>103</v>
      </c>
      <c r="D19">
        <v>8</v>
      </c>
      <c r="E19">
        <f t="shared" si="0"/>
        <v>1.03E-2</v>
      </c>
      <c r="F19" t="s">
        <v>122</v>
      </c>
      <c r="G19">
        <v>89.26</v>
      </c>
      <c r="H19">
        <v>10.3</v>
      </c>
      <c r="I19" s="20">
        <f t="shared" si="1"/>
        <v>8.9259999999999999E-3</v>
      </c>
      <c r="J19" s="15">
        <f t="shared" si="2"/>
        <v>-0.15393233251176341</v>
      </c>
    </row>
    <row r="20" spans="1:10" x14ac:dyDescent="0.2">
      <c r="A20" t="s">
        <v>254</v>
      </c>
      <c r="B20" t="s">
        <v>36</v>
      </c>
      <c r="C20">
        <v>103</v>
      </c>
      <c r="D20">
        <v>8</v>
      </c>
      <c r="E20">
        <f t="shared" si="0"/>
        <v>1.03E-2</v>
      </c>
      <c r="F20" t="s">
        <v>123</v>
      </c>
      <c r="G20">
        <v>95.22</v>
      </c>
      <c r="H20">
        <v>11.42</v>
      </c>
      <c r="I20" s="20">
        <f t="shared" si="1"/>
        <v>9.5219999999999992E-3</v>
      </c>
      <c r="J20" s="15">
        <f t="shared" si="2"/>
        <v>-8.1705524049569433E-2</v>
      </c>
    </row>
    <row r="21" spans="1:10" x14ac:dyDescent="0.2">
      <c r="A21" t="s">
        <v>254</v>
      </c>
      <c r="B21" t="s">
        <v>36</v>
      </c>
      <c r="C21">
        <v>103</v>
      </c>
      <c r="D21">
        <v>8</v>
      </c>
      <c r="E21">
        <f t="shared" si="0"/>
        <v>1.03E-2</v>
      </c>
      <c r="F21" t="s">
        <v>124</v>
      </c>
      <c r="G21">
        <v>87.76</v>
      </c>
      <c r="H21">
        <v>11.02</v>
      </c>
      <c r="I21" s="20">
        <f t="shared" si="1"/>
        <v>8.7760000000000008E-3</v>
      </c>
      <c r="J21" s="15">
        <f t="shared" si="2"/>
        <v>-0.17365542388331812</v>
      </c>
    </row>
    <row r="22" spans="1:10" x14ac:dyDescent="0.2">
      <c r="A22" t="s">
        <v>313</v>
      </c>
      <c r="B22" t="s">
        <v>36</v>
      </c>
      <c r="C22">
        <v>930</v>
      </c>
      <c r="D22">
        <v>79.599999999999994</v>
      </c>
      <c r="E22">
        <f>C22/10^4</f>
        <v>9.2999999999999999E-2</v>
      </c>
      <c r="F22" t="s">
        <v>131</v>
      </c>
      <c r="G22">
        <v>839.59</v>
      </c>
      <c r="H22">
        <v>24.29</v>
      </c>
      <c r="I22" s="20">
        <f t="shared" si="1"/>
        <v>8.3959000000000006E-2</v>
      </c>
      <c r="J22" s="15">
        <f t="shared" si="2"/>
        <v>-0.10768351219047378</v>
      </c>
    </row>
    <row r="23" spans="1:10" x14ac:dyDescent="0.2">
      <c r="A23" t="s">
        <v>313</v>
      </c>
      <c r="B23" t="s">
        <v>36</v>
      </c>
      <c r="C23">
        <v>930</v>
      </c>
      <c r="D23">
        <v>79.599999999999994</v>
      </c>
      <c r="E23">
        <f>C23/10^4</f>
        <v>9.2999999999999999E-2</v>
      </c>
      <c r="F23" t="s">
        <v>132</v>
      </c>
      <c r="G23">
        <v>832.07</v>
      </c>
      <c r="H23">
        <v>24.05</v>
      </c>
      <c r="I23" s="20">
        <f t="shared" si="1"/>
        <v>8.3207000000000003E-2</v>
      </c>
      <c r="J23" s="15">
        <f t="shared" si="2"/>
        <v>-0.11769442474791769</v>
      </c>
    </row>
    <row r="24" spans="1:10" x14ac:dyDescent="0.2">
      <c r="A24" t="s">
        <v>313</v>
      </c>
      <c r="B24" t="s">
        <v>36</v>
      </c>
      <c r="C24">
        <v>930</v>
      </c>
      <c r="D24">
        <v>79.599999999999994</v>
      </c>
      <c r="E24">
        <f>C24/10^4</f>
        <v>9.2999999999999999E-2</v>
      </c>
      <c r="F24" t="s">
        <v>133</v>
      </c>
      <c r="G24">
        <v>831.11</v>
      </c>
      <c r="H24">
        <v>23.34</v>
      </c>
      <c r="I24" s="20">
        <f t="shared" si="1"/>
        <v>8.3111000000000004E-2</v>
      </c>
      <c r="J24" s="15">
        <f t="shared" si="2"/>
        <v>-0.11898545318910858</v>
      </c>
    </row>
  </sheetData>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3:J24"/>
  <sheetViews>
    <sheetView workbookViewId="0">
      <selection activeCell="G28" sqref="G28"/>
    </sheetView>
  </sheetViews>
  <sheetFormatPr baseColWidth="10" defaultColWidth="8.83203125" defaultRowHeight="15" x14ac:dyDescent="0.2"/>
  <cols>
    <col min="2" max="2" width="17.6640625" bestFit="1" customWidth="1"/>
    <col min="5" max="5" width="12.83203125" bestFit="1" customWidth="1"/>
    <col min="6" max="8" width="11" customWidth="1"/>
    <col min="9" max="9" width="17.5" bestFit="1" customWidth="1"/>
  </cols>
  <sheetData>
    <row r="3" spans="1:10" x14ac:dyDescent="0.2">
      <c r="A3" t="s">
        <v>253</v>
      </c>
      <c r="B3" t="s">
        <v>315</v>
      </c>
      <c r="C3" t="s">
        <v>314</v>
      </c>
      <c r="D3" t="s">
        <v>140</v>
      </c>
      <c r="E3" t="s">
        <v>252</v>
      </c>
      <c r="F3" t="s">
        <v>258</v>
      </c>
      <c r="G3" t="s">
        <v>103</v>
      </c>
      <c r="H3" t="s">
        <v>272</v>
      </c>
      <c r="I3" t="s">
        <v>257</v>
      </c>
    </row>
    <row r="4" spans="1:10" x14ac:dyDescent="0.2">
      <c r="A4" t="s">
        <v>260</v>
      </c>
      <c r="B4" t="s">
        <v>94</v>
      </c>
      <c r="C4">
        <v>0.15</v>
      </c>
      <c r="D4">
        <v>0.01</v>
      </c>
      <c r="E4">
        <f t="shared" ref="E4:E12" si="0">C4</f>
        <v>0.15</v>
      </c>
      <c r="F4" t="s">
        <v>106</v>
      </c>
      <c r="G4">
        <v>2118.21</v>
      </c>
      <c r="H4">
        <v>332.01</v>
      </c>
      <c r="I4" s="20">
        <f>G4/10^4</f>
        <v>0.21182100000000001</v>
      </c>
      <c r="J4" s="15">
        <f>1-E4/I4</f>
        <v>0.29185491523503337</v>
      </c>
    </row>
    <row r="5" spans="1:10" x14ac:dyDescent="0.2">
      <c r="A5" t="s">
        <v>260</v>
      </c>
      <c r="B5" t="s">
        <v>94</v>
      </c>
      <c r="C5">
        <v>0.15</v>
      </c>
      <c r="D5">
        <v>0.01</v>
      </c>
      <c r="E5">
        <f t="shared" si="0"/>
        <v>0.15</v>
      </c>
      <c r="F5" t="s">
        <v>108</v>
      </c>
      <c r="G5">
        <v>1927.19</v>
      </c>
      <c r="H5">
        <v>306.12</v>
      </c>
      <c r="I5" s="20">
        <f t="shared" ref="I5:I24" si="1">G5/10^4</f>
        <v>0.192719</v>
      </c>
      <c r="J5" s="15">
        <f t="shared" ref="J5:J24" si="2">1-E5/I5</f>
        <v>0.22166470353208556</v>
      </c>
    </row>
    <row r="6" spans="1:10" x14ac:dyDescent="0.2">
      <c r="A6" t="s">
        <v>260</v>
      </c>
      <c r="B6" t="s">
        <v>94</v>
      </c>
      <c r="C6">
        <v>0.15</v>
      </c>
      <c r="D6">
        <v>0.01</v>
      </c>
      <c r="E6">
        <f t="shared" si="0"/>
        <v>0.15</v>
      </c>
      <c r="F6" t="s">
        <v>109</v>
      </c>
      <c r="G6">
        <v>2027.72</v>
      </c>
      <c r="H6">
        <v>321.49</v>
      </c>
      <c r="I6" s="20">
        <f t="shared" si="1"/>
        <v>0.20277200000000001</v>
      </c>
      <c r="J6" s="15">
        <f t="shared" si="2"/>
        <v>0.26025289487700476</v>
      </c>
    </row>
    <row r="7" spans="1:10" x14ac:dyDescent="0.2">
      <c r="A7" t="s">
        <v>259</v>
      </c>
      <c r="B7" t="s">
        <v>94</v>
      </c>
      <c r="C7">
        <v>0.13</v>
      </c>
      <c r="D7">
        <v>0.01</v>
      </c>
      <c r="E7">
        <f t="shared" si="0"/>
        <v>0.13</v>
      </c>
      <c r="F7" t="s">
        <v>110</v>
      </c>
      <c r="G7">
        <v>1852.14</v>
      </c>
      <c r="H7">
        <v>330.88</v>
      </c>
      <c r="I7" s="20">
        <f t="shared" si="1"/>
        <v>0.18521400000000002</v>
      </c>
      <c r="J7" s="15">
        <f t="shared" si="2"/>
        <v>0.29810921420626957</v>
      </c>
    </row>
    <row r="8" spans="1:10" x14ac:dyDescent="0.2">
      <c r="A8" t="s">
        <v>259</v>
      </c>
      <c r="B8" t="s">
        <v>94</v>
      </c>
      <c r="C8">
        <v>0.13</v>
      </c>
      <c r="D8">
        <v>0.01</v>
      </c>
      <c r="E8">
        <f t="shared" si="0"/>
        <v>0.13</v>
      </c>
      <c r="F8" t="s">
        <v>111</v>
      </c>
      <c r="G8">
        <v>2094.52</v>
      </c>
      <c r="H8">
        <v>341.54</v>
      </c>
      <c r="I8" s="20">
        <f t="shared" si="1"/>
        <v>0.209452</v>
      </c>
      <c r="J8" s="15">
        <f t="shared" si="2"/>
        <v>0.3793327349464316</v>
      </c>
    </row>
    <row r="9" spans="1:10" x14ac:dyDescent="0.2">
      <c r="A9" t="s">
        <v>259</v>
      </c>
      <c r="B9" t="s">
        <v>94</v>
      </c>
      <c r="C9">
        <v>0.13</v>
      </c>
      <c r="D9">
        <v>0.01</v>
      </c>
      <c r="E9">
        <f t="shared" si="0"/>
        <v>0.13</v>
      </c>
      <c r="F9" t="s">
        <v>112</v>
      </c>
      <c r="G9">
        <v>2014.95</v>
      </c>
      <c r="H9">
        <v>352.32</v>
      </c>
      <c r="I9" s="20">
        <f t="shared" si="1"/>
        <v>0.20149500000000001</v>
      </c>
      <c r="J9" s="15">
        <f t="shared" si="2"/>
        <v>0.35482270031514429</v>
      </c>
    </row>
    <row r="10" spans="1:10" x14ac:dyDescent="0.2">
      <c r="A10" t="s">
        <v>113</v>
      </c>
      <c r="B10" t="s">
        <v>94</v>
      </c>
      <c r="C10">
        <v>0.21</v>
      </c>
      <c r="D10">
        <v>0.01</v>
      </c>
      <c r="E10">
        <f t="shared" si="0"/>
        <v>0.21</v>
      </c>
      <c r="F10" t="s">
        <v>113</v>
      </c>
      <c r="G10">
        <v>2786.28</v>
      </c>
      <c r="H10">
        <v>339.65</v>
      </c>
      <c r="I10" s="20">
        <f t="shared" si="1"/>
        <v>0.27862800000000004</v>
      </c>
      <c r="J10" s="15">
        <f t="shared" si="2"/>
        <v>0.24630690382876108</v>
      </c>
    </row>
    <row r="11" spans="1:10" x14ac:dyDescent="0.2">
      <c r="A11" t="s">
        <v>113</v>
      </c>
      <c r="B11" t="s">
        <v>94</v>
      </c>
      <c r="C11">
        <v>0.21</v>
      </c>
      <c r="D11">
        <v>0.01</v>
      </c>
      <c r="E11">
        <f t="shared" si="0"/>
        <v>0.21</v>
      </c>
      <c r="F11" t="s">
        <v>114</v>
      </c>
      <c r="G11">
        <v>2881.52</v>
      </c>
      <c r="H11">
        <v>340.19</v>
      </c>
      <c r="I11" s="20">
        <f t="shared" si="1"/>
        <v>0.28815200000000002</v>
      </c>
      <c r="J11" s="15">
        <f t="shared" si="2"/>
        <v>0.27121796829451128</v>
      </c>
    </row>
    <row r="12" spans="1:10" x14ac:dyDescent="0.2">
      <c r="A12" t="s">
        <v>113</v>
      </c>
      <c r="B12" t="s">
        <v>94</v>
      </c>
      <c r="C12">
        <v>0.21</v>
      </c>
      <c r="D12">
        <v>0.01</v>
      </c>
      <c r="E12">
        <f t="shared" si="0"/>
        <v>0.21</v>
      </c>
      <c r="F12" t="s">
        <v>115</v>
      </c>
      <c r="G12">
        <v>2967.19</v>
      </c>
      <c r="H12">
        <v>321.22000000000003</v>
      </c>
      <c r="I12" s="20">
        <f t="shared" si="1"/>
        <v>0.29671900000000001</v>
      </c>
      <c r="J12" s="15">
        <f t="shared" si="2"/>
        <v>0.29225968003397162</v>
      </c>
    </row>
    <row r="13" spans="1:10" x14ac:dyDescent="0.2">
      <c r="A13" t="s">
        <v>256</v>
      </c>
      <c r="B13" t="s">
        <v>150</v>
      </c>
      <c r="C13">
        <v>0.46</v>
      </c>
      <c r="D13">
        <v>5.0000000000000001E-3</v>
      </c>
      <c r="E13" s="25">
        <f t="shared" ref="E13:E21" si="3">C13*0.436420668103728</f>
        <v>0.20075350732771488</v>
      </c>
      <c r="F13" t="s">
        <v>116</v>
      </c>
      <c r="G13">
        <v>2404.9499999999998</v>
      </c>
      <c r="H13">
        <v>256.05</v>
      </c>
      <c r="I13" s="20">
        <f t="shared" si="1"/>
        <v>0.24049499999999999</v>
      </c>
      <c r="J13" s="15">
        <f t="shared" si="2"/>
        <v>0.16524872730112938</v>
      </c>
    </row>
    <row r="14" spans="1:10" x14ac:dyDescent="0.2">
      <c r="A14" t="s">
        <v>256</v>
      </c>
      <c r="B14" t="s">
        <v>150</v>
      </c>
      <c r="C14">
        <v>0.46</v>
      </c>
      <c r="D14">
        <v>5.0000000000000001E-3</v>
      </c>
      <c r="E14" s="25">
        <f t="shared" si="3"/>
        <v>0.20075350732771488</v>
      </c>
      <c r="F14" t="s">
        <v>117</v>
      </c>
      <c r="G14">
        <v>2452.41</v>
      </c>
      <c r="H14">
        <v>247.41</v>
      </c>
      <c r="I14" s="20">
        <f t="shared" si="1"/>
        <v>0.24524099999999999</v>
      </c>
      <c r="J14" s="15">
        <f t="shared" si="2"/>
        <v>0.18140316126701939</v>
      </c>
    </row>
    <row r="15" spans="1:10" x14ac:dyDescent="0.2">
      <c r="A15" t="s">
        <v>256</v>
      </c>
      <c r="B15" t="s">
        <v>150</v>
      </c>
      <c r="C15">
        <v>0.46</v>
      </c>
      <c r="D15">
        <v>5.0000000000000001E-3</v>
      </c>
      <c r="E15" s="25">
        <f t="shared" si="3"/>
        <v>0.20075350732771488</v>
      </c>
      <c r="F15" t="s">
        <v>118</v>
      </c>
      <c r="G15">
        <v>2219.2600000000002</v>
      </c>
      <c r="H15">
        <v>228.17</v>
      </c>
      <c r="I15" s="20">
        <f t="shared" si="1"/>
        <v>0.22192600000000001</v>
      </c>
      <c r="J15" s="15">
        <f t="shared" si="2"/>
        <v>9.5403389743811573E-2</v>
      </c>
    </row>
    <row r="16" spans="1:10" x14ac:dyDescent="0.2">
      <c r="A16" t="s">
        <v>255</v>
      </c>
      <c r="B16" t="s">
        <v>150</v>
      </c>
      <c r="C16">
        <v>0.37</v>
      </c>
      <c r="D16">
        <v>2E-3</v>
      </c>
      <c r="E16" s="25">
        <f t="shared" si="3"/>
        <v>0.16147564719837934</v>
      </c>
      <c r="F16" t="s">
        <v>119</v>
      </c>
      <c r="G16">
        <v>1817.4</v>
      </c>
      <c r="H16">
        <v>287.79000000000002</v>
      </c>
      <c r="I16" s="20">
        <f t="shared" si="1"/>
        <v>0.18174000000000001</v>
      </c>
      <c r="J16" s="15">
        <f t="shared" si="2"/>
        <v>0.11150188621998824</v>
      </c>
    </row>
    <row r="17" spans="1:10" x14ac:dyDescent="0.2">
      <c r="A17" t="s">
        <v>255</v>
      </c>
      <c r="B17" t="s">
        <v>150</v>
      </c>
      <c r="C17">
        <v>0.37</v>
      </c>
      <c r="D17">
        <v>2E-3</v>
      </c>
      <c r="E17" s="25">
        <f t="shared" si="3"/>
        <v>0.16147564719837934</v>
      </c>
      <c r="F17" t="s">
        <v>120</v>
      </c>
      <c r="G17">
        <v>1915.21</v>
      </c>
      <c r="H17">
        <v>293.62</v>
      </c>
      <c r="I17" s="20">
        <f t="shared" si="1"/>
        <v>0.191521</v>
      </c>
      <c r="J17" s="15">
        <f t="shared" si="2"/>
        <v>0.15687758941119068</v>
      </c>
    </row>
    <row r="18" spans="1:10" x14ac:dyDescent="0.2">
      <c r="A18" t="s">
        <v>255</v>
      </c>
      <c r="B18" t="s">
        <v>150</v>
      </c>
      <c r="C18">
        <v>0.37</v>
      </c>
      <c r="D18">
        <v>2E-3</v>
      </c>
      <c r="E18" s="25">
        <f t="shared" si="3"/>
        <v>0.16147564719837934</v>
      </c>
      <c r="F18" t="s">
        <v>121</v>
      </c>
      <c r="G18">
        <v>1925.93</v>
      </c>
      <c r="H18">
        <v>286.74</v>
      </c>
      <c r="I18" s="20">
        <f t="shared" si="1"/>
        <v>0.19259300000000001</v>
      </c>
      <c r="J18" s="15">
        <f t="shared" si="2"/>
        <v>0.16157052853229692</v>
      </c>
    </row>
    <row r="19" spans="1:10" x14ac:dyDescent="0.2">
      <c r="A19" t="s">
        <v>254</v>
      </c>
      <c r="B19" t="s">
        <v>150</v>
      </c>
      <c r="C19">
        <v>0.16</v>
      </c>
      <c r="D19">
        <v>2.5000000000000001E-2</v>
      </c>
      <c r="E19" s="25">
        <f t="shared" si="3"/>
        <v>6.9827306896596483E-2</v>
      </c>
      <c r="F19" t="s">
        <v>122</v>
      </c>
      <c r="G19">
        <v>1144.72</v>
      </c>
      <c r="H19">
        <v>325.42</v>
      </c>
      <c r="I19" s="20">
        <f t="shared" si="1"/>
        <v>0.114472</v>
      </c>
      <c r="J19" s="15">
        <f t="shared" si="2"/>
        <v>0.39000535592462371</v>
      </c>
    </row>
    <row r="20" spans="1:10" x14ac:dyDescent="0.2">
      <c r="A20" t="s">
        <v>254</v>
      </c>
      <c r="B20" t="s">
        <v>150</v>
      </c>
      <c r="C20">
        <v>0.16</v>
      </c>
      <c r="D20">
        <v>2.5000000000000001E-2</v>
      </c>
      <c r="E20" s="25">
        <f t="shared" si="3"/>
        <v>6.9827306896596483E-2</v>
      </c>
      <c r="F20" t="s">
        <v>123</v>
      </c>
      <c r="G20">
        <v>1001.75</v>
      </c>
      <c r="H20">
        <v>320.75</v>
      </c>
      <c r="I20" s="20">
        <f t="shared" si="1"/>
        <v>0.100175</v>
      </c>
      <c r="J20" s="15">
        <f t="shared" si="2"/>
        <v>0.30294677417922156</v>
      </c>
    </row>
    <row r="21" spans="1:10" x14ac:dyDescent="0.2">
      <c r="A21" t="s">
        <v>254</v>
      </c>
      <c r="B21" t="s">
        <v>150</v>
      </c>
      <c r="C21">
        <v>0.16</v>
      </c>
      <c r="D21">
        <v>2.5000000000000001E-2</v>
      </c>
      <c r="E21" s="25">
        <f t="shared" si="3"/>
        <v>6.9827306896596483E-2</v>
      </c>
      <c r="F21" t="s">
        <v>124</v>
      </c>
      <c r="G21">
        <v>1262.58</v>
      </c>
      <c r="H21">
        <v>320.58999999999997</v>
      </c>
      <c r="I21" s="20">
        <f t="shared" si="1"/>
        <v>0.12625799999999998</v>
      </c>
      <c r="J21" s="15">
        <f t="shared" si="2"/>
        <v>0.44694746553409292</v>
      </c>
    </row>
    <row r="22" spans="1:10" x14ac:dyDescent="0.2">
      <c r="A22" t="s">
        <v>313</v>
      </c>
      <c r="B22" t="s">
        <v>293</v>
      </c>
      <c r="C22">
        <v>7.0000000000000007E-2</v>
      </c>
      <c r="D22">
        <v>4.0000000000000001E-3</v>
      </c>
      <c r="E22">
        <f>C22</f>
        <v>7.0000000000000007E-2</v>
      </c>
      <c r="F22" t="s">
        <v>131</v>
      </c>
      <c r="G22">
        <v>1043.53</v>
      </c>
      <c r="H22">
        <v>315.42</v>
      </c>
      <c r="I22" s="20">
        <f t="shared" si="1"/>
        <v>0.104353</v>
      </c>
      <c r="J22" s="15">
        <f t="shared" si="2"/>
        <v>0.3291999271702778</v>
      </c>
    </row>
    <row r="23" spans="1:10" x14ac:dyDescent="0.2">
      <c r="A23" t="s">
        <v>313</v>
      </c>
      <c r="B23" t="s">
        <v>293</v>
      </c>
      <c r="C23">
        <v>7.0000000000000007E-2</v>
      </c>
      <c r="D23">
        <v>4.0000000000000001E-3</v>
      </c>
      <c r="E23">
        <f>C23</f>
        <v>7.0000000000000007E-2</v>
      </c>
      <c r="F23" t="s">
        <v>132</v>
      </c>
      <c r="G23">
        <v>929.93</v>
      </c>
      <c r="H23">
        <v>305.68</v>
      </c>
      <c r="I23" s="20">
        <f t="shared" si="1"/>
        <v>9.2992999999999992E-2</v>
      </c>
      <c r="J23" s="15">
        <f t="shared" si="2"/>
        <v>0.24725516974395911</v>
      </c>
    </row>
    <row r="24" spans="1:10" x14ac:dyDescent="0.2">
      <c r="A24" t="s">
        <v>313</v>
      </c>
      <c r="B24" t="s">
        <v>293</v>
      </c>
      <c r="C24">
        <v>7.0000000000000007E-2</v>
      </c>
      <c r="D24">
        <v>4.0000000000000001E-3</v>
      </c>
      <c r="E24">
        <f>C24</f>
        <v>7.0000000000000007E-2</v>
      </c>
      <c r="F24" t="s">
        <v>133</v>
      </c>
      <c r="G24">
        <v>1152.51</v>
      </c>
      <c r="H24">
        <v>327.45</v>
      </c>
      <c r="I24" s="20">
        <f t="shared" si="1"/>
        <v>0.11525099999999999</v>
      </c>
      <c r="J24" s="15">
        <f t="shared" si="2"/>
        <v>0.3926299988720271</v>
      </c>
    </row>
  </sheetData>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3:J30"/>
  <sheetViews>
    <sheetView topLeftCell="M1" workbookViewId="0">
      <selection activeCell="P2" sqref="P2"/>
    </sheetView>
  </sheetViews>
  <sheetFormatPr baseColWidth="10" defaultColWidth="8.83203125" defaultRowHeight="15" x14ac:dyDescent="0.2"/>
  <cols>
    <col min="2" max="2" width="17.6640625" bestFit="1" customWidth="1"/>
    <col min="5" max="5" width="12.83203125" bestFit="1" customWidth="1"/>
    <col min="6" max="8" width="11" customWidth="1"/>
    <col min="9" max="9" width="17.5" bestFit="1" customWidth="1"/>
  </cols>
  <sheetData>
    <row r="3" spans="1:10" x14ac:dyDescent="0.2">
      <c r="A3" t="s">
        <v>253</v>
      </c>
      <c r="B3" t="s">
        <v>315</v>
      </c>
      <c r="C3" t="s">
        <v>314</v>
      </c>
      <c r="D3" t="s">
        <v>140</v>
      </c>
      <c r="E3" t="s">
        <v>252</v>
      </c>
      <c r="F3" t="s">
        <v>258</v>
      </c>
      <c r="G3" t="s">
        <v>103</v>
      </c>
      <c r="H3" t="s">
        <v>272</v>
      </c>
      <c r="I3" t="s">
        <v>257</v>
      </c>
    </row>
    <row r="4" spans="1:10" x14ac:dyDescent="0.2">
      <c r="A4" t="s">
        <v>260</v>
      </c>
      <c r="B4" t="s">
        <v>270</v>
      </c>
      <c r="F4" t="s">
        <v>106</v>
      </c>
      <c r="G4">
        <v>13.91</v>
      </c>
      <c r="H4">
        <v>2.2000000000000002</v>
      </c>
      <c r="I4" s="20">
        <f t="shared" ref="I4:I21" si="0">G4/10^4</f>
        <v>1.3910000000000001E-3</v>
      </c>
      <c r="J4" s="15">
        <f>1-E4/I4</f>
        <v>1</v>
      </c>
    </row>
    <row r="5" spans="1:10" x14ac:dyDescent="0.2">
      <c r="A5" t="s">
        <v>260</v>
      </c>
      <c r="B5" t="s">
        <v>270</v>
      </c>
      <c r="F5" t="s">
        <v>108</v>
      </c>
      <c r="G5">
        <v>12.87</v>
      </c>
      <c r="H5">
        <v>1.9</v>
      </c>
      <c r="I5" s="20">
        <f t="shared" si="0"/>
        <v>1.2869999999999999E-3</v>
      </c>
      <c r="J5" s="15">
        <f t="shared" ref="J5:J30" si="1">1-E5/I5</f>
        <v>1</v>
      </c>
    </row>
    <row r="6" spans="1:10" x14ac:dyDescent="0.2">
      <c r="A6" t="s">
        <v>260</v>
      </c>
      <c r="B6" t="s">
        <v>270</v>
      </c>
      <c r="F6" t="s">
        <v>109</v>
      </c>
      <c r="G6">
        <v>14.12</v>
      </c>
      <c r="H6">
        <v>1.95</v>
      </c>
      <c r="I6" s="20">
        <f t="shared" si="0"/>
        <v>1.4119999999999998E-3</v>
      </c>
      <c r="J6" s="15">
        <f t="shared" si="1"/>
        <v>1</v>
      </c>
    </row>
    <row r="7" spans="1:10" x14ac:dyDescent="0.2">
      <c r="A7" t="s">
        <v>259</v>
      </c>
      <c r="B7" t="s">
        <v>82</v>
      </c>
      <c r="C7">
        <v>27</v>
      </c>
      <c r="D7">
        <v>2</v>
      </c>
      <c r="E7">
        <f t="shared" ref="E7:E27" si="2">C7/10^4</f>
        <v>2.7000000000000001E-3</v>
      </c>
      <c r="F7" t="s">
        <v>110</v>
      </c>
      <c r="G7">
        <v>23.37</v>
      </c>
      <c r="H7">
        <v>1.9</v>
      </c>
      <c r="I7" s="20">
        <f t="shared" si="0"/>
        <v>2.3370000000000001E-3</v>
      </c>
      <c r="J7" s="15">
        <f t="shared" si="1"/>
        <v>-0.1553273427471118</v>
      </c>
    </row>
    <row r="8" spans="1:10" x14ac:dyDescent="0.2">
      <c r="A8" t="s">
        <v>259</v>
      </c>
      <c r="B8" t="s">
        <v>82</v>
      </c>
      <c r="C8">
        <v>27</v>
      </c>
      <c r="D8">
        <v>2</v>
      </c>
      <c r="E8">
        <f t="shared" si="2"/>
        <v>2.7000000000000001E-3</v>
      </c>
      <c r="F8" t="s">
        <v>111</v>
      </c>
      <c r="G8">
        <v>25.54</v>
      </c>
      <c r="H8">
        <v>1.94</v>
      </c>
      <c r="I8" s="20">
        <f t="shared" si="0"/>
        <v>2.5539999999999998E-3</v>
      </c>
      <c r="J8" s="15">
        <f t="shared" si="1"/>
        <v>-5.7165231010180229E-2</v>
      </c>
    </row>
    <row r="9" spans="1:10" x14ac:dyDescent="0.2">
      <c r="A9" t="s">
        <v>259</v>
      </c>
      <c r="B9" t="s">
        <v>82</v>
      </c>
      <c r="C9">
        <v>27</v>
      </c>
      <c r="D9">
        <v>2</v>
      </c>
      <c r="E9">
        <f t="shared" si="2"/>
        <v>2.7000000000000001E-3</v>
      </c>
      <c r="F9" t="s">
        <v>112</v>
      </c>
      <c r="G9">
        <v>26.54</v>
      </c>
      <c r="H9">
        <v>1.88</v>
      </c>
      <c r="I9" s="20">
        <f t="shared" si="0"/>
        <v>2.6540000000000001E-3</v>
      </c>
      <c r="J9" s="15">
        <f t="shared" si="1"/>
        <v>-1.7332328560663246E-2</v>
      </c>
    </row>
    <row r="10" spans="1:10" x14ac:dyDescent="0.2">
      <c r="A10" t="s">
        <v>113</v>
      </c>
      <c r="B10" t="s">
        <v>82</v>
      </c>
      <c r="C10">
        <v>15</v>
      </c>
      <c r="D10">
        <v>1</v>
      </c>
      <c r="E10">
        <f t="shared" si="2"/>
        <v>1.5E-3</v>
      </c>
      <c r="F10" t="s">
        <v>113</v>
      </c>
      <c r="G10">
        <v>13.26</v>
      </c>
      <c r="H10">
        <v>1.73</v>
      </c>
      <c r="I10" s="20">
        <f t="shared" si="0"/>
        <v>1.3259999999999999E-3</v>
      </c>
      <c r="J10" s="15">
        <f t="shared" si="1"/>
        <v>-0.13122171945701377</v>
      </c>
    </row>
    <row r="11" spans="1:10" x14ac:dyDescent="0.2">
      <c r="A11" t="s">
        <v>113</v>
      </c>
      <c r="B11" t="s">
        <v>82</v>
      </c>
      <c r="C11">
        <v>15</v>
      </c>
      <c r="D11">
        <v>1</v>
      </c>
      <c r="E11">
        <f t="shared" si="2"/>
        <v>1.5E-3</v>
      </c>
      <c r="F11" t="s">
        <v>114</v>
      </c>
      <c r="G11">
        <v>12.4</v>
      </c>
      <c r="H11">
        <v>1.7</v>
      </c>
      <c r="I11" s="20">
        <f t="shared" si="0"/>
        <v>1.24E-3</v>
      </c>
      <c r="J11" s="15">
        <f t="shared" si="1"/>
        <v>-0.20967741935483875</v>
      </c>
    </row>
    <row r="12" spans="1:10" x14ac:dyDescent="0.2">
      <c r="A12" t="s">
        <v>113</v>
      </c>
      <c r="B12" t="s">
        <v>82</v>
      </c>
      <c r="C12">
        <v>15</v>
      </c>
      <c r="D12">
        <v>1</v>
      </c>
      <c r="E12">
        <f t="shared" si="2"/>
        <v>1.5E-3</v>
      </c>
      <c r="F12" t="s">
        <v>115</v>
      </c>
      <c r="G12">
        <v>13.78</v>
      </c>
      <c r="H12">
        <v>1.84</v>
      </c>
      <c r="I12" s="20">
        <f t="shared" si="0"/>
        <v>1.3779999999999999E-3</v>
      </c>
      <c r="J12" s="15">
        <f t="shared" si="1"/>
        <v>-8.8534107402032047E-2</v>
      </c>
    </row>
    <row r="13" spans="1:10" x14ac:dyDescent="0.2">
      <c r="A13" t="s">
        <v>256</v>
      </c>
      <c r="B13" t="s">
        <v>270</v>
      </c>
      <c r="F13" t="s">
        <v>116</v>
      </c>
      <c r="G13">
        <v>19.88</v>
      </c>
      <c r="H13">
        <v>3.38</v>
      </c>
      <c r="I13" s="20">
        <f t="shared" si="0"/>
        <v>1.9879999999999997E-3</v>
      </c>
      <c r="J13" s="15">
        <f t="shared" si="1"/>
        <v>1</v>
      </c>
    </row>
    <row r="14" spans="1:10" x14ac:dyDescent="0.2">
      <c r="A14" t="s">
        <v>256</v>
      </c>
      <c r="B14" t="s">
        <v>270</v>
      </c>
      <c r="F14" t="s">
        <v>117</v>
      </c>
      <c r="G14">
        <v>26.73</v>
      </c>
      <c r="H14">
        <v>3.55</v>
      </c>
      <c r="I14" s="20">
        <f t="shared" si="0"/>
        <v>2.673E-3</v>
      </c>
      <c r="J14" s="15">
        <f t="shared" si="1"/>
        <v>1</v>
      </c>
    </row>
    <row r="15" spans="1:10" x14ac:dyDescent="0.2">
      <c r="A15" t="s">
        <v>256</v>
      </c>
      <c r="B15" t="s">
        <v>270</v>
      </c>
      <c r="F15" t="s">
        <v>118</v>
      </c>
      <c r="G15">
        <v>18.05</v>
      </c>
      <c r="H15">
        <v>3.16</v>
      </c>
      <c r="I15" s="20">
        <f t="shared" si="0"/>
        <v>1.805E-3</v>
      </c>
      <c r="J15" s="15">
        <f t="shared" si="1"/>
        <v>1</v>
      </c>
    </row>
    <row r="16" spans="1:10" x14ac:dyDescent="0.2">
      <c r="A16" t="s">
        <v>255</v>
      </c>
      <c r="B16" t="s">
        <v>82</v>
      </c>
      <c r="C16">
        <v>15.3</v>
      </c>
      <c r="D16">
        <v>0.2</v>
      </c>
      <c r="E16">
        <f t="shared" si="2"/>
        <v>1.5300000000000001E-3</v>
      </c>
      <c r="F16" t="s">
        <v>119</v>
      </c>
      <c r="G16">
        <v>15.2</v>
      </c>
      <c r="H16">
        <v>1.91</v>
      </c>
      <c r="I16" s="20">
        <f t="shared" si="0"/>
        <v>1.5199999999999999E-3</v>
      </c>
      <c r="J16" s="15">
        <f t="shared" si="1"/>
        <v>-6.5789473684212396E-3</v>
      </c>
    </row>
    <row r="17" spans="1:10" x14ac:dyDescent="0.2">
      <c r="A17" t="s">
        <v>255</v>
      </c>
      <c r="B17" t="s">
        <v>82</v>
      </c>
      <c r="C17">
        <v>15.3</v>
      </c>
      <c r="D17">
        <v>0.2</v>
      </c>
      <c r="E17">
        <f t="shared" si="2"/>
        <v>1.5300000000000001E-3</v>
      </c>
      <c r="F17" t="s">
        <v>120</v>
      </c>
      <c r="G17">
        <v>13.99</v>
      </c>
      <c r="H17">
        <v>1.85</v>
      </c>
      <c r="I17" s="20">
        <f t="shared" si="0"/>
        <v>1.3990000000000001E-3</v>
      </c>
      <c r="J17" s="15">
        <f t="shared" si="1"/>
        <v>-9.3638313080772084E-2</v>
      </c>
    </row>
    <row r="18" spans="1:10" x14ac:dyDescent="0.2">
      <c r="A18" t="s">
        <v>255</v>
      </c>
      <c r="B18" t="s">
        <v>82</v>
      </c>
      <c r="C18">
        <v>15.3</v>
      </c>
      <c r="D18">
        <v>0.2</v>
      </c>
      <c r="E18">
        <f t="shared" si="2"/>
        <v>1.5300000000000001E-3</v>
      </c>
      <c r="F18" t="s">
        <v>121</v>
      </c>
      <c r="G18">
        <v>15.47</v>
      </c>
      <c r="H18">
        <v>1.95</v>
      </c>
      <c r="I18" s="20">
        <f t="shared" si="0"/>
        <v>1.547E-3</v>
      </c>
      <c r="J18" s="15">
        <f t="shared" si="1"/>
        <v>1.098901098901095E-2</v>
      </c>
    </row>
    <row r="19" spans="1:10" x14ac:dyDescent="0.2">
      <c r="A19" t="s">
        <v>254</v>
      </c>
      <c r="B19" t="s">
        <v>82</v>
      </c>
      <c r="C19">
        <v>21</v>
      </c>
      <c r="E19">
        <f t="shared" si="2"/>
        <v>2.0999999999999999E-3</v>
      </c>
      <c r="F19" t="s">
        <v>122</v>
      </c>
      <c r="G19">
        <v>18.850000000000001</v>
      </c>
      <c r="H19">
        <v>1.75</v>
      </c>
      <c r="I19" s="20">
        <f t="shared" si="0"/>
        <v>1.8850000000000002E-3</v>
      </c>
      <c r="J19" s="15">
        <f t="shared" si="1"/>
        <v>-0.11405835543766552</v>
      </c>
    </row>
    <row r="20" spans="1:10" x14ac:dyDescent="0.2">
      <c r="A20" t="s">
        <v>254</v>
      </c>
      <c r="B20" t="s">
        <v>82</v>
      </c>
      <c r="C20">
        <v>21</v>
      </c>
      <c r="E20">
        <f t="shared" si="2"/>
        <v>2.0999999999999999E-3</v>
      </c>
      <c r="F20" t="s">
        <v>123</v>
      </c>
      <c r="G20">
        <v>16.75</v>
      </c>
      <c r="H20">
        <v>1.86</v>
      </c>
      <c r="I20" s="20">
        <f t="shared" si="0"/>
        <v>1.6750000000000001E-3</v>
      </c>
      <c r="J20" s="15">
        <f t="shared" si="1"/>
        <v>-0.25373134328358193</v>
      </c>
    </row>
    <row r="21" spans="1:10" x14ac:dyDescent="0.2">
      <c r="A21" t="s">
        <v>254</v>
      </c>
      <c r="B21" t="s">
        <v>82</v>
      </c>
      <c r="C21">
        <v>21</v>
      </c>
      <c r="E21">
        <f t="shared" si="2"/>
        <v>2.0999999999999999E-3</v>
      </c>
      <c r="F21" t="s">
        <v>124</v>
      </c>
      <c r="G21">
        <v>17.38</v>
      </c>
      <c r="H21">
        <v>1.87</v>
      </c>
      <c r="I21" s="20">
        <f t="shared" si="0"/>
        <v>1.738E-3</v>
      </c>
      <c r="J21" s="15">
        <f t="shared" si="1"/>
        <v>-0.20828538550057529</v>
      </c>
    </row>
    <row r="22" spans="1:10" x14ac:dyDescent="0.2">
      <c r="A22" t="s">
        <v>313</v>
      </c>
      <c r="B22" t="s">
        <v>82</v>
      </c>
      <c r="C22">
        <v>29.9</v>
      </c>
      <c r="D22">
        <v>3.37</v>
      </c>
      <c r="E22">
        <f t="shared" si="2"/>
        <v>2.99E-3</v>
      </c>
      <c r="F22" t="s">
        <v>131</v>
      </c>
      <c r="G22">
        <v>33.869999999999997</v>
      </c>
      <c r="H22">
        <v>2.08</v>
      </c>
      <c r="I22" s="20">
        <f t="shared" ref="I22:I30" si="3">G22/10^4</f>
        <v>3.3869999999999998E-3</v>
      </c>
      <c r="J22" s="15">
        <f t="shared" si="1"/>
        <v>0.11721287274874514</v>
      </c>
    </row>
    <row r="23" spans="1:10" x14ac:dyDescent="0.2">
      <c r="A23" t="s">
        <v>313</v>
      </c>
      <c r="B23" t="s">
        <v>82</v>
      </c>
      <c r="C23">
        <v>29.9</v>
      </c>
      <c r="D23">
        <v>3.37</v>
      </c>
      <c r="E23">
        <f t="shared" si="2"/>
        <v>2.99E-3</v>
      </c>
      <c r="F23" t="s">
        <v>132</v>
      </c>
      <c r="G23">
        <v>32.130000000000003</v>
      </c>
      <c r="H23">
        <v>2.04</v>
      </c>
      <c r="I23" s="20">
        <f t="shared" si="3"/>
        <v>3.2130000000000001E-3</v>
      </c>
      <c r="J23" s="15">
        <f t="shared" si="1"/>
        <v>6.94055399937753E-2</v>
      </c>
    </row>
    <row r="24" spans="1:10" x14ac:dyDescent="0.2">
      <c r="A24" t="s">
        <v>313</v>
      </c>
      <c r="B24" t="s">
        <v>82</v>
      </c>
      <c r="C24">
        <v>29.9</v>
      </c>
      <c r="D24">
        <v>3.37</v>
      </c>
      <c r="E24">
        <f t="shared" si="2"/>
        <v>2.99E-3</v>
      </c>
      <c r="F24" t="s">
        <v>133</v>
      </c>
      <c r="G24">
        <v>32.79</v>
      </c>
      <c r="H24">
        <v>1.99</v>
      </c>
      <c r="I24" s="20">
        <f t="shared" si="3"/>
        <v>3.2789999999999998E-3</v>
      </c>
      <c r="J24" s="15">
        <f t="shared" si="1"/>
        <v>8.8136627020433012E-2</v>
      </c>
    </row>
    <row r="25" spans="1:10" x14ac:dyDescent="0.2">
      <c r="A25" t="s">
        <v>323</v>
      </c>
      <c r="B25" t="s">
        <v>82</v>
      </c>
      <c r="C25">
        <v>15</v>
      </c>
      <c r="E25">
        <f t="shared" si="2"/>
        <v>1.5E-3</v>
      </c>
      <c r="F25" t="s">
        <v>134</v>
      </c>
      <c r="G25">
        <v>14.05</v>
      </c>
      <c r="H25">
        <v>1.7</v>
      </c>
      <c r="I25" s="20">
        <f t="shared" si="3"/>
        <v>1.405E-3</v>
      </c>
      <c r="J25" s="15">
        <f t="shared" si="1"/>
        <v>-6.7615658362989439E-2</v>
      </c>
    </row>
    <row r="26" spans="1:10" x14ac:dyDescent="0.2">
      <c r="A26" t="s">
        <v>323</v>
      </c>
      <c r="B26" t="s">
        <v>82</v>
      </c>
      <c r="C26">
        <v>15</v>
      </c>
      <c r="E26">
        <f t="shared" si="2"/>
        <v>1.5E-3</v>
      </c>
      <c r="F26" t="s">
        <v>136</v>
      </c>
      <c r="G26">
        <v>16.309999999999999</v>
      </c>
      <c r="H26">
        <v>1.76</v>
      </c>
      <c r="I26" s="20">
        <f t="shared" si="3"/>
        <v>1.6309999999999999E-3</v>
      </c>
      <c r="J26" s="15">
        <f t="shared" si="1"/>
        <v>8.0318822808093104E-2</v>
      </c>
    </row>
    <row r="27" spans="1:10" x14ac:dyDescent="0.2">
      <c r="A27" t="s">
        <v>323</v>
      </c>
      <c r="B27" t="s">
        <v>82</v>
      </c>
      <c r="C27">
        <v>15</v>
      </c>
      <c r="E27">
        <f t="shared" si="2"/>
        <v>1.5E-3</v>
      </c>
      <c r="F27" t="s">
        <v>137</v>
      </c>
      <c r="G27">
        <v>15.39</v>
      </c>
      <c r="H27">
        <v>1.83</v>
      </c>
      <c r="I27" s="20">
        <f t="shared" si="3"/>
        <v>1.539E-3</v>
      </c>
      <c r="J27" s="15">
        <f t="shared" si="1"/>
        <v>2.5341130604288442E-2</v>
      </c>
    </row>
    <row r="28" spans="1:10" x14ac:dyDescent="0.2">
      <c r="A28" t="s">
        <v>210</v>
      </c>
      <c r="B28" t="s">
        <v>270</v>
      </c>
      <c r="F28" t="s">
        <v>262</v>
      </c>
      <c r="G28">
        <v>9.16</v>
      </c>
      <c r="H28">
        <v>1.57</v>
      </c>
      <c r="I28" s="20">
        <f t="shared" si="3"/>
        <v>9.1600000000000004E-4</v>
      </c>
      <c r="J28" s="15">
        <f t="shared" si="1"/>
        <v>1</v>
      </c>
    </row>
    <row r="29" spans="1:10" x14ac:dyDescent="0.2">
      <c r="A29" t="s">
        <v>210</v>
      </c>
      <c r="B29" t="s">
        <v>270</v>
      </c>
      <c r="F29" t="s">
        <v>263</v>
      </c>
      <c r="G29">
        <v>9.26</v>
      </c>
      <c r="H29">
        <v>1.66</v>
      </c>
      <c r="I29" s="20">
        <f t="shared" si="3"/>
        <v>9.2599999999999996E-4</v>
      </c>
      <c r="J29" s="15">
        <f t="shared" si="1"/>
        <v>1</v>
      </c>
    </row>
    <row r="30" spans="1:10" x14ac:dyDescent="0.2">
      <c r="A30" t="s">
        <v>210</v>
      </c>
      <c r="B30" t="s">
        <v>270</v>
      </c>
      <c r="F30" t="s">
        <v>264</v>
      </c>
      <c r="G30">
        <v>7.28</v>
      </c>
      <c r="H30">
        <v>1.53</v>
      </c>
      <c r="I30" s="20">
        <f t="shared" si="3"/>
        <v>7.2800000000000002E-4</v>
      </c>
      <c r="J30" s="15">
        <f t="shared" si="1"/>
        <v>1</v>
      </c>
    </row>
  </sheetData>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3:J24"/>
  <sheetViews>
    <sheetView topLeftCell="M1" workbookViewId="0">
      <selection activeCell="B22" sqref="B22:B24"/>
    </sheetView>
  </sheetViews>
  <sheetFormatPr baseColWidth="10" defaultColWidth="8.83203125" defaultRowHeight="15" x14ac:dyDescent="0.2"/>
  <cols>
    <col min="2" max="2" width="17.6640625" bestFit="1" customWidth="1"/>
    <col min="5" max="5" width="12.83203125" bestFit="1" customWidth="1"/>
    <col min="6" max="8" width="11" customWidth="1"/>
    <col min="9" max="9" width="17.5" bestFit="1" customWidth="1"/>
  </cols>
  <sheetData>
    <row r="3" spans="1:10" x14ac:dyDescent="0.2">
      <c r="A3" t="s">
        <v>253</v>
      </c>
      <c r="B3" t="s">
        <v>315</v>
      </c>
      <c r="C3" t="s">
        <v>314</v>
      </c>
      <c r="D3" t="s">
        <v>140</v>
      </c>
      <c r="E3" t="s">
        <v>252</v>
      </c>
      <c r="F3" t="s">
        <v>258</v>
      </c>
      <c r="G3" t="s">
        <v>103</v>
      </c>
      <c r="H3" t="s">
        <v>272</v>
      </c>
      <c r="I3" t="s">
        <v>257</v>
      </c>
    </row>
    <row r="4" spans="1:10" x14ac:dyDescent="0.2">
      <c r="A4" t="s">
        <v>260</v>
      </c>
      <c r="B4" t="s">
        <v>52</v>
      </c>
      <c r="C4">
        <v>416</v>
      </c>
      <c r="D4">
        <v>14</v>
      </c>
      <c r="E4">
        <f t="shared" ref="E4:E24" si="0">C4/10^4</f>
        <v>4.1599999999999998E-2</v>
      </c>
      <c r="F4" t="s">
        <v>106</v>
      </c>
      <c r="G4">
        <v>411.76</v>
      </c>
      <c r="H4">
        <v>58.9</v>
      </c>
      <c r="I4" s="20">
        <f>G4/10^4</f>
        <v>4.1175999999999997E-2</v>
      </c>
      <c r="J4" s="15">
        <f>1-E4/I4</f>
        <v>-1.0297260540120368E-2</v>
      </c>
    </row>
    <row r="5" spans="1:10" x14ac:dyDescent="0.2">
      <c r="A5" t="s">
        <v>260</v>
      </c>
      <c r="B5" t="s">
        <v>52</v>
      </c>
      <c r="C5">
        <v>416</v>
      </c>
      <c r="D5">
        <v>14</v>
      </c>
      <c r="E5">
        <f t="shared" si="0"/>
        <v>4.1599999999999998E-2</v>
      </c>
      <c r="F5" t="s">
        <v>108</v>
      </c>
      <c r="G5">
        <v>377.5</v>
      </c>
      <c r="H5">
        <v>59.68</v>
      </c>
      <c r="I5" s="20">
        <f t="shared" ref="I5:I24" si="1">G5/10^4</f>
        <v>3.7749999999999999E-2</v>
      </c>
      <c r="J5" s="15">
        <f t="shared" ref="J5:J24" si="2">1-E5/I5</f>
        <v>-0.10198675496688736</v>
      </c>
    </row>
    <row r="6" spans="1:10" x14ac:dyDescent="0.2">
      <c r="A6" t="s">
        <v>260</v>
      </c>
      <c r="B6" t="s">
        <v>52</v>
      </c>
      <c r="C6">
        <v>416</v>
      </c>
      <c r="D6">
        <v>14</v>
      </c>
      <c r="E6">
        <f t="shared" si="0"/>
        <v>4.1599999999999998E-2</v>
      </c>
      <c r="F6" t="s">
        <v>109</v>
      </c>
      <c r="G6">
        <v>404.11</v>
      </c>
      <c r="H6">
        <v>61.62</v>
      </c>
      <c r="I6" s="20">
        <f t="shared" si="1"/>
        <v>4.0411000000000002E-2</v>
      </c>
      <c r="J6" s="15">
        <f t="shared" si="2"/>
        <v>-2.9422681943035212E-2</v>
      </c>
    </row>
    <row r="7" spans="1:10" x14ac:dyDescent="0.2">
      <c r="A7" t="s">
        <v>259</v>
      </c>
      <c r="B7" t="s">
        <v>52</v>
      </c>
      <c r="C7">
        <v>52</v>
      </c>
      <c r="D7">
        <v>4</v>
      </c>
      <c r="E7">
        <f t="shared" si="0"/>
        <v>5.1999999999999998E-3</v>
      </c>
      <c r="F7" t="s">
        <v>110</v>
      </c>
      <c r="G7">
        <v>103.24</v>
      </c>
      <c r="H7">
        <v>33.71</v>
      </c>
      <c r="I7" s="20">
        <f t="shared" si="1"/>
        <v>1.0324E-2</v>
      </c>
      <c r="J7" s="15">
        <f t="shared" si="2"/>
        <v>0.496319256102286</v>
      </c>
    </row>
    <row r="8" spans="1:10" x14ac:dyDescent="0.2">
      <c r="A8" t="s">
        <v>259</v>
      </c>
      <c r="B8" t="s">
        <v>52</v>
      </c>
      <c r="C8">
        <v>52</v>
      </c>
      <c r="D8">
        <v>4</v>
      </c>
      <c r="E8">
        <f t="shared" si="0"/>
        <v>5.1999999999999998E-3</v>
      </c>
      <c r="F8" t="s">
        <v>111</v>
      </c>
      <c r="G8">
        <v>112.42</v>
      </c>
      <c r="H8">
        <v>34.43</v>
      </c>
      <c r="I8" s="20">
        <f t="shared" si="1"/>
        <v>1.1242E-2</v>
      </c>
      <c r="J8" s="15">
        <f t="shared" si="2"/>
        <v>0.53744885251734575</v>
      </c>
    </row>
    <row r="9" spans="1:10" x14ac:dyDescent="0.2">
      <c r="A9" t="s">
        <v>259</v>
      </c>
      <c r="B9" t="s">
        <v>52</v>
      </c>
      <c r="C9">
        <v>52</v>
      </c>
      <c r="D9">
        <v>4</v>
      </c>
      <c r="E9">
        <f t="shared" si="0"/>
        <v>5.1999999999999998E-3</v>
      </c>
      <c r="F9" t="s">
        <v>112</v>
      </c>
      <c r="G9">
        <v>117.15</v>
      </c>
      <c r="H9">
        <v>33.549999999999997</v>
      </c>
      <c r="I9" s="20">
        <f t="shared" si="1"/>
        <v>1.1715E-2</v>
      </c>
      <c r="J9" s="15">
        <f t="shared" si="2"/>
        <v>0.55612462654716177</v>
      </c>
    </row>
    <row r="10" spans="1:10" x14ac:dyDescent="0.2">
      <c r="A10" t="s">
        <v>113</v>
      </c>
      <c r="B10" t="s">
        <v>52</v>
      </c>
      <c r="C10">
        <v>120</v>
      </c>
      <c r="D10">
        <v>5</v>
      </c>
      <c r="E10">
        <f t="shared" si="0"/>
        <v>1.2E-2</v>
      </c>
      <c r="F10" t="s">
        <v>113</v>
      </c>
      <c r="G10">
        <v>119.51</v>
      </c>
      <c r="H10">
        <v>37.64</v>
      </c>
      <c r="I10" s="20">
        <f t="shared" si="1"/>
        <v>1.1951E-2</v>
      </c>
      <c r="J10" s="15">
        <f t="shared" si="2"/>
        <v>-4.1000753075057794E-3</v>
      </c>
    </row>
    <row r="11" spans="1:10" x14ac:dyDescent="0.2">
      <c r="A11" t="s">
        <v>113</v>
      </c>
      <c r="B11" t="s">
        <v>52</v>
      </c>
      <c r="C11">
        <v>120</v>
      </c>
      <c r="D11">
        <v>5</v>
      </c>
      <c r="E11">
        <f t="shared" si="0"/>
        <v>1.2E-2</v>
      </c>
      <c r="F11" t="s">
        <v>114</v>
      </c>
      <c r="G11">
        <v>154.91999999999999</v>
      </c>
      <c r="H11">
        <v>38.79</v>
      </c>
      <c r="I11" s="20">
        <f t="shared" si="1"/>
        <v>1.5491999999999999E-2</v>
      </c>
      <c r="J11" s="15">
        <f t="shared" si="2"/>
        <v>0.22540666150271105</v>
      </c>
    </row>
    <row r="12" spans="1:10" x14ac:dyDescent="0.2">
      <c r="A12" t="s">
        <v>113</v>
      </c>
      <c r="B12" t="s">
        <v>52</v>
      </c>
      <c r="C12">
        <v>120</v>
      </c>
      <c r="D12">
        <v>5</v>
      </c>
      <c r="E12">
        <f t="shared" si="0"/>
        <v>1.2E-2</v>
      </c>
      <c r="F12" t="s">
        <v>115</v>
      </c>
      <c r="G12">
        <v>187.14</v>
      </c>
      <c r="H12">
        <v>54.36</v>
      </c>
      <c r="I12" s="20">
        <f t="shared" si="1"/>
        <v>1.8713999999999998E-2</v>
      </c>
      <c r="J12" s="15">
        <f t="shared" si="2"/>
        <v>0.35876883616543753</v>
      </c>
    </row>
    <row r="13" spans="1:10" x14ac:dyDescent="0.2">
      <c r="A13" t="s">
        <v>256</v>
      </c>
      <c r="B13" t="s">
        <v>52</v>
      </c>
      <c r="C13">
        <v>570</v>
      </c>
      <c r="D13">
        <v>10</v>
      </c>
      <c r="E13">
        <f t="shared" si="0"/>
        <v>5.7000000000000002E-2</v>
      </c>
      <c r="F13" t="s">
        <v>116</v>
      </c>
      <c r="G13">
        <v>515.5</v>
      </c>
      <c r="H13">
        <v>98.87</v>
      </c>
      <c r="I13" s="20">
        <f t="shared" si="1"/>
        <v>5.1549999999999999E-2</v>
      </c>
      <c r="J13" s="15">
        <f t="shared" si="2"/>
        <v>-0.10572259941804085</v>
      </c>
    </row>
    <row r="14" spans="1:10" x14ac:dyDescent="0.2">
      <c r="A14" t="s">
        <v>256</v>
      </c>
      <c r="B14" t="s">
        <v>52</v>
      </c>
      <c r="C14">
        <v>570</v>
      </c>
      <c r="D14">
        <v>10</v>
      </c>
      <c r="E14">
        <f t="shared" si="0"/>
        <v>5.7000000000000002E-2</v>
      </c>
      <c r="F14" t="s">
        <v>117</v>
      </c>
      <c r="G14">
        <v>500.14</v>
      </c>
      <c r="H14">
        <v>99.4</v>
      </c>
      <c r="I14" s="20">
        <f t="shared" si="1"/>
        <v>5.0013999999999996E-2</v>
      </c>
      <c r="J14" s="15">
        <f t="shared" si="2"/>
        <v>-0.13968088935098177</v>
      </c>
    </row>
    <row r="15" spans="1:10" x14ac:dyDescent="0.2">
      <c r="A15" t="s">
        <v>256</v>
      </c>
      <c r="B15" t="s">
        <v>52</v>
      </c>
      <c r="C15">
        <v>570</v>
      </c>
      <c r="D15">
        <v>10</v>
      </c>
      <c r="E15">
        <f t="shared" si="0"/>
        <v>5.7000000000000002E-2</v>
      </c>
      <c r="F15" t="s">
        <v>118</v>
      </c>
      <c r="G15">
        <v>529.38</v>
      </c>
      <c r="H15">
        <v>96.88</v>
      </c>
      <c r="I15" s="20">
        <f t="shared" si="1"/>
        <v>5.2937999999999999E-2</v>
      </c>
      <c r="J15" s="15">
        <f t="shared" si="2"/>
        <v>-7.6731270542899299E-2</v>
      </c>
    </row>
    <row r="16" spans="1:10" x14ac:dyDescent="0.2">
      <c r="A16" t="s">
        <v>255</v>
      </c>
      <c r="B16" t="s">
        <v>52</v>
      </c>
      <c r="C16">
        <v>220</v>
      </c>
      <c r="D16">
        <v>1.4</v>
      </c>
      <c r="E16">
        <f t="shared" si="0"/>
        <v>2.1999999999999999E-2</v>
      </c>
      <c r="F16" t="s">
        <v>119</v>
      </c>
      <c r="G16">
        <v>274.73</v>
      </c>
      <c r="H16">
        <v>45.96</v>
      </c>
      <c r="I16" s="20">
        <f t="shared" si="1"/>
        <v>2.7473000000000001E-2</v>
      </c>
      <c r="J16" s="15">
        <f t="shared" si="2"/>
        <v>0.19921377352309544</v>
      </c>
    </row>
    <row r="17" spans="1:10" x14ac:dyDescent="0.2">
      <c r="A17" t="s">
        <v>255</v>
      </c>
      <c r="B17" t="s">
        <v>52</v>
      </c>
      <c r="C17">
        <v>220</v>
      </c>
      <c r="D17">
        <v>1.4</v>
      </c>
      <c r="E17">
        <f t="shared" si="0"/>
        <v>2.1999999999999999E-2</v>
      </c>
      <c r="F17" t="s">
        <v>120</v>
      </c>
      <c r="G17">
        <v>256.57</v>
      </c>
      <c r="H17">
        <v>45.38</v>
      </c>
      <c r="I17" s="20">
        <f t="shared" si="1"/>
        <v>2.5656999999999999E-2</v>
      </c>
      <c r="J17" s="15">
        <f t="shared" si="2"/>
        <v>0.14253420119265703</v>
      </c>
    </row>
    <row r="18" spans="1:10" x14ac:dyDescent="0.2">
      <c r="A18" t="s">
        <v>255</v>
      </c>
      <c r="B18" t="s">
        <v>52</v>
      </c>
      <c r="C18">
        <v>220</v>
      </c>
      <c r="D18">
        <v>1.4</v>
      </c>
      <c r="E18">
        <f t="shared" si="0"/>
        <v>2.1999999999999999E-2</v>
      </c>
      <c r="F18" t="s">
        <v>121</v>
      </c>
      <c r="G18">
        <v>281.93</v>
      </c>
      <c r="H18">
        <v>45.36</v>
      </c>
      <c r="I18" s="20">
        <f t="shared" si="1"/>
        <v>2.8192999999999999E-2</v>
      </c>
      <c r="J18" s="15">
        <f t="shared" si="2"/>
        <v>0.21966445571595794</v>
      </c>
    </row>
    <row r="19" spans="1:10" x14ac:dyDescent="0.2">
      <c r="A19" t="s">
        <v>254</v>
      </c>
      <c r="B19" t="s">
        <v>52</v>
      </c>
      <c r="C19">
        <v>102</v>
      </c>
      <c r="D19">
        <v>12</v>
      </c>
      <c r="E19">
        <f t="shared" si="0"/>
        <v>1.0200000000000001E-2</v>
      </c>
      <c r="F19" t="s">
        <v>122</v>
      </c>
      <c r="G19">
        <v>115.24</v>
      </c>
      <c r="H19">
        <v>35.21</v>
      </c>
      <c r="I19" s="20">
        <f t="shared" si="1"/>
        <v>1.1524E-2</v>
      </c>
      <c r="J19" s="15">
        <f t="shared" si="2"/>
        <v>0.11489066296424844</v>
      </c>
    </row>
    <row r="20" spans="1:10" x14ac:dyDescent="0.2">
      <c r="A20" t="s">
        <v>254</v>
      </c>
      <c r="B20" t="s">
        <v>52</v>
      </c>
      <c r="C20">
        <v>102</v>
      </c>
      <c r="D20">
        <v>12</v>
      </c>
      <c r="E20">
        <f t="shared" si="0"/>
        <v>1.0200000000000001E-2</v>
      </c>
      <c r="F20" t="s">
        <v>123</v>
      </c>
      <c r="G20">
        <v>144.77000000000001</v>
      </c>
      <c r="H20">
        <v>35.68</v>
      </c>
      <c r="I20" s="20">
        <f t="shared" si="1"/>
        <v>1.4477E-2</v>
      </c>
      <c r="J20" s="15">
        <f t="shared" si="2"/>
        <v>0.29543413690681763</v>
      </c>
    </row>
    <row r="21" spans="1:10" x14ac:dyDescent="0.2">
      <c r="A21" t="s">
        <v>254</v>
      </c>
      <c r="B21" t="s">
        <v>52</v>
      </c>
      <c r="C21">
        <v>102</v>
      </c>
      <c r="D21">
        <v>12</v>
      </c>
      <c r="E21">
        <f t="shared" si="0"/>
        <v>1.0200000000000001E-2</v>
      </c>
      <c r="F21" t="s">
        <v>124</v>
      </c>
      <c r="G21">
        <v>151.62</v>
      </c>
      <c r="H21">
        <v>35.700000000000003</v>
      </c>
      <c r="I21" s="20">
        <f t="shared" si="1"/>
        <v>1.5162E-2</v>
      </c>
      <c r="J21" s="15">
        <f t="shared" si="2"/>
        <v>0.32726553225168176</v>
      </c>
    </row>
    <row r="22" spans="1:10" x14ac:dyDescent="0.2">
      <c r="A22" t="s">
        <v>313</v>
      </c>
      <c r="B22" t="s">
        <v>52</v>
      </c>
      <c r="C22">
        <v>67.2</v>
      </c>
      <c r="D22">
        <v>3.68</v>
      </c>
      <c r="E22">
        <f t="shared" si="0"/>
        <v>6.7200000000000003E-3</v>
      </c>
      <c r="F22" t="s">
        <v>131</v>
      </c>
      <c r="G22">
        <v>105.36</v>
      </c>
      <c r="H22">
        <v>30.17</v>
      </c>
      <c r="I22" s="20">
        <f t="shared" si="1"/>
        <v>1.0536E-2</v>
      </c>
      <c r="J22" s="15">
        <f t="shared" si="2"/>
        <v>0.36218678815489747</v>
      </c>
    </row>
    <row r="23" spans="1:10" x14ac:dyDescent="0.2">
      <c r="A23" t="s">
        <v>313</v>
      </c>
      <c r="B23" t="s">
        <v>52</v>
      </c>
      <c r="C23">
        <v>67.2</v>
      </c>
      <c r="D23">
        <v>3.68</v>
      </c>
      <c r="E23">
        <f t="shared" si="0"/>
        <v>6.7200000000000003E-3</v>
      </c>
      <c r="F23" t="s">
        <v>132</v>
      </c>
      <c r="G23">
        <v>73.959999999999994</v>
      </c>
      <c r="H23">
        <v>30.46</v>
      </c>
      <c r="I23" s="20">
        <f t="shared" si="1"/>
        <v>7.3959999999999998E-3</v>
      </c>
      <c r="J23" s="15">
        <f t="shared" si="2"/>
        <v>9.1400757166035684E-2</v>
      </c>
    </row>
    <row r="24" spans="1:10" x14ac:dyDescent="0.2">
      <c r="A24" t="s">
        <v>313</v>
      </c>
      <c r="B24" t="s">
        <v>52</v>
      </c>
      <c r="C24">
        <v>67.2</v>
      </c>
      <c r="D24">
        <v>3.68</v>
      </c>
      <c r="E24">
        <f t="shared" si="0"/>
        <v>6.7200000000000003E-3</v>
      </c>
      <c r="F24" t="s">
        <v>133</v>
      </c>
      <c r="G24">
        <v>92.33</v>
      </c>
      <c r="H24">
        <v>29.87</v>
      </c>
      <c r="I24" s="20">
        <f t="shared" si="1"/>
        <v>9.2329999999999999E-3</v>
      </c>
      <c r="J24" s="15">
        <f t="shared" si="2"/>
        <v>0.2721758908263836</v>
      </c>
    </row>
  </sheetData>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3:J24"/>
  <sheetViews>
    <sheetView topLeftCell="K1" workbookViewId="0">
      <selection activeCell="H29" sqref="H29"/>
    </sheetView>
  </sheetViews>
  <sheetFormatPr baseColWidth="10" defaultColWidth="8.83203125" defaultRowHeight="15" x14ac:dyDescent="0.2"/>
  <cols>
    <col min="2" max="2" width="17.6640625" bestFit="1" customWidth="1"/>
    <col min="5" max="5" width="12.83203125" bestFit="1" customWidth="1"/>
    <col min="6" max="8" width="11" customWidth="1"/>
    <col min="9" max="9" width="17.5" bestFit="1" customWidth="1"/>
  </cols>
  <sheetData>
    <row r="3" spans="1:10" x14ac:dyDescent="0.2">
      <c r="A3" t="s">
        <v>253</v>
      </c>
      <c r="B3" t="s">
        <v>315</v>
      </c>
      <c r="C3" t="s">
        <v>314</v>
      </c>
      <c r="D3" t="s">
        <v>140</v>
      </c>
      <c r="E3" t="s">
        <v>252</v>
      </c>
      <c r="F3" t="s">
        <v>258</v>
      </c>
      <c r="G3" t="s">
        <v>103</v>
      </c>
      <c r="H3" t="s">
        <v>272</v>
      </c>
      <c r="I3" t="s">
        <v>257</v>
      </c>
    </row>
    <row r="4" spans="1:10" x14ac:dyDescent="0.2">
      <c r="A4" t="s">
        <v>260</v>
      </c>
      <c r="B4" t="s">
        <v>58</v>
      </c>
      <c r="C4">
        <v>5.09</v>
      </c>
      <c r="D4">
        <v>0.08</v>
      </c>
      <c r="E4">
        <f t="shared" ref="E4:E12" si="0">C4</f>
        <v>5.09</v>
      </c>
      <c r="F4" t="s">
        <v>106</v>
      </c>
      <c r="G4">
        <v>55214.28</v>
      </c>
      <c r="H4">
        <v>1122.79</v>
      </c>
      <c r="I4" s="20">
        <f>G4/10^4</f>
        <v>5.5214280000000002</v>
      </c>
      <c r="J4" s="15">
        <f>1-E4/I4</f>
        <v>7.8137032666187101E-2</v>
      </c>
    </row>
    <row r="5" spans="1:10" x14ac:dyDescent="0.2">
      <c r="A5" t="s">
        <v>260</v>
      </c>
      <c r="B5" t="s">
        <v>58</v>
      </c>
      <c r="C5">
        <v>5.09</v>
      </c>
      <c r="D5">
        <v>0.08</v>
      </c>
      <c r="E5">
        <f t="shared" si="0"/>
        <v>5.09</v>
      </c>
      <c r="F5" t="s">
        <v>108</v>
      </c>
      <c r="G5">
        <v>54726.82</v>
      </c>
      <c r="H5">
        <v>1126.47</v>
      </c>
      <c r="I5" s="20">
        <f t="shared" ref="I5:I24" si="1">G5/10^4</f>
        <v>5.4726819999999998</v>
      </c>
      <c r="J5" s="15">
        <f t="shared" ref="J5:J24" si="2">1-E5/I5</f>
        <v>6.9925860848483401E-2</v>
      </c>
    </row>
    <row r="6" spans="1:10" x14ac:dyDescent="0.2">
      <c r="A6" t="s">
        <v>260</v>
      </c>
      <c r="B6" t="s">
        <v>58</v>
      </c>
      <c r="C6">
        <v>5.09</v>
      </c>
      <c r="D6">
        <v>0.08</v>
      </c>
      <c r="E6">
        <f t="shared" si="0"/>
        <v>5.09</v>
      </c>
      <c r="F6" t="s">
        <v>109</v>
      </c>
      <c r="G6">
        <v>54674</v>
      </c>
      <c r="H6">
        <v>1149.8900000000001</v>
      </c>
      <c r="I6" s="20">
        <f t="shared" si="1"/>
        <v>5.4673999999999996</v>
      </c>
      <c r="J6" s="15">
        <f t="shared" si="2"/>
        <v>6.9027325602663003E-2</v>
      </c>
    </row>
    <row r="7" spans="1:10" x14ac:dyDescent="0.2">
      <c r="A7" t="s">
        <v>259</v>
      </c>
      <c r="B7" t="s">
        <v>58</v>
      </c>
      <c r="C7">
        <v>1.5</v>
      </c>
      <c r="D7">
        <v>0.04</v>
      </c>
      <c r="E7">
        <f t="shared" si="0"/>
        <v>1.5</v>
      </c>
      <c r="F7" t="s">
        <v>110</v>
      </c>
      <c r="G7">
        <v>16686.05</v>
      </c>
      <c r="H7">
        <v>600.94000000000005</v>
      </c>
      <c r="I7" s="20">
        <f t="shared" si="1"/>
        <v>1.6686049999999999</v>
      </c>
      <c r="J7" s="15">
        <f t="shared" si="2"/>
        <v>0.10104548410198932</v>
      </c>
    </row>
    <row r="8" spans="1:10" x14ac:dyDescent="0.2">
      <c r="A8" t="s">
        <v>259</v>
      </c>
      <c r="B8" t="s">
        <v>58</v>
      </c>
      <c r="C8">
        <v>1.5</v>
      </c>
      <c r="D8">
        <v>0.04</v>
      </c>
      <c r="E8">
        <f t="shared" si="0"/>
        <v>1.5</v>
      </c>
      <c r="F8" t="s">
        <v>111</v>
      </c>
      <c r="G8">
        <v>17198.990000000002</v>
      </c>
      <c r="H8">
        <v>607.13</v>
      </c>
      <c r="I8" s="20">
        <f t="shared" si="1"/>
        <v>1.7198990000000001</v>
      </c>
      <c r="J8" s="15">
        <f t="shared" si="2"/>
        <v>0.12785576362332907</v>
      </c>
    </row>
    <row r="9" spans="1:10" x14ac:dyDescent="0.2">
      <c r="A9" t="s">
        <v>259</v>
      </c>
      <c r="B9" t="s">
        <v>58</v>
      </c>
      <c r="C9">
        <v>1.5</v>
      </c>
      <c r="D9">
        <v>0.04</v>
      </c>
      <c r="E9">
        <f t="shared" si="0"/>
        <v>1.5</v>
      </c>
      <c r="F9" t="s">
        <v>112</v>
      </c>
      <c r="G9">
        <v>16792.240000000002</v>
      </c>
      <c r="H9">
        <v>595.11</v>
      </c>
      <c r="I9" s="20">
        <f t="shared" si="1"/>
        <v>1.679224</v>
      </c>
      <c r="J9" s="15">
        <f t="shared" si="2"/>
        <v>0.10673025159240224</v>
      </c>
    </row>
    <row r="10" spans="1:10" x14ac:dyDescent="0.2">
      <c r="A10" t="s">
        <v>113</v>
      </c>
      <c r="B10" t="s">
        <v>58</v>
      </c>
      <c r="C10">
        <v>3.72</v>
      </c>
      <c r="D10">
        <v>0.09</v>
      </c>
      <c r="E10">
        <f t="shared" si="0"/>
        <v>3.72</v>
      </c>
      <c r="F10" t="s">
        <v>113</v>
      </c>
      <c r="G10">
        <v>39775.199999999997</v>
      </c>
      <c r="H10">
        <v>836.77</v>
      </c>
      <c r="I10" s="20">
        <f t="shared" si="1"/>
        <v>3.9775199999999997</v>
      </c>
      <c r="J10" s="15">
        <f t="shared" si="2"/>
        <v>6.4743860495987349E-2</v>
      </c>
    </row>
    <row r="11" spans="1:10" x14ac:dyDescent="0.2">
      <c r="A11" t="s">
        <v>113</v>
      </c>
      <c r="B11" t="s">
        <v>58</v>
      </c>
      <c r="C11">
        <v>3.72</v>
      </c>
      <c r="D11">
        <v>0.09</v>
      </c>
      <c r="E11">
        <f t="shared" si="0"/>
        <v>3.72</v>
      </c>
      <c r="F11" t="s">
        <v>114</v>
      </c>
      <c r="G11">
        <v>39892.300000000003</v>
      </c>
      <c r="H11">
        <v>845.75</v>
      </c>
      <c r="I11" s="20">
        <f t="shared" si="1"/>
        <v>3.9892300000000005</v>
      </c>
      <c r="J11" s="15">
        <f t="shared" si="2"/>
        <v>6.7489214710608425E-2</v>
      </c>
    </row>
    <row r="12" spans="1:10" x14ac:dyDescent="0.2">
      <c r="A12" t="s">
        <v>113</v>
      </c>
      <c r="B12" t="s">
        <v>58</v>
      </c>
      <c r="C12">
        <v>3.72</v>
      </c>
      <c r="D12">
        <v>0.09</v>
      </c>
      <c r="E12">
        <f t="shared" si="0"/>
        <v>3.72</v>
      </c>
      <c r="F12" t="s">
        <v>115</v>
      </c>
      <c r="G12">
        <v>39804.49</v>
      </c>
      <c r="H12">
        <v>844.69</v>
      </c>
      <c r="I12" s="20">
        <f t="shared" si="1"/>
        <v>3.9804489999999997</v>
      </c>
      <c r="J12" s="15">
        <f t="shared" si="2"/>
        <v>6.5432065578531318E-2</v>
      </c>
    </row>
    <row r="13" spans="1:10" x14ac:dyDescent="0.2">
      <c r="A13" t="s">
        <v>256</v>
      </c>
      <c r="B13" t="s">
        <v>143</v>
      </c>
      <c r="C13">
        <v>3.1</v>
      </c>
      <c r="D13">
        <v>1.6E-2</v>
      </c>
      <c r="E13">
        <f t="shared" ref="E13:E21" si="3">C13*0.7147</f>
        <v>2.21557</v>
      </c>
      <c r="F13" t="s">
        <v>116</v>
      </c>
      <c r="G13">
        <v>22682.3</v>
      </c>
      <c r="H13">
        <v>1051.69</v>
      </c>
      <c r="I13" s="20">
        <f t="shared" si="1"/>
        <v>2.26823</v>
      </c>
      <c r="J13" s="15">
        <f t="shared" si="2"/>
        <v>2.3216340494570664E-2</v>
      </c>
    </row>
    <row r="14" spans="1:10" x14ac:dyDescent="0.2">
      <c r="A14" t="s">
        <v>256</v>
      </c>
      <c r="B14" t="s">
        <v>143</v>
      </c>
      <c r="C14">
        <v>3.1</v>
      </c>
      <c r="D14">
        <v>1.6E-2</v>
      </c>
      <c r="E14">
        <f t="shared" si="3"/>
        <v>2.21557</v>
      </c>
      <c r="F14" t="s">
        <v>117</v>
      </c>
      <c r="G14">
        <v>22762.33</v>
      </c>
      <c r="H14">
        <v>1060.69</v>
      </c>
      <c r="I14" s="20">
        <f t="shared" si="1"/>
        <v>2.2762330000000004</v>
      </c>
      <c r="J14" s="15">
        <f t="shared" si="2"/>
        <v>2.6650610899675131E-2</v>
      </c>
    </row>
    <row r="15" spans="1:10" x14ac:dyDescent="0.2">
      <c r="A15" t="s">
        <v>256</v>
      </c>
      <c r="B15" t="s">
        <v>143</v>
      </c>
      <c r="C15">
        <v>3.1</v>
      </c>
      <c r="D15">
        <v>1.6E-2</v>
      </c>
      <c r="E15">
        <f t="shared" si="3"/>
        <v>2.21557</v>
      </c>
      <c r="F15" t="s">
        <v>118</v>
      </c>
      <c r="G15">
        <v>22340.23</v>
      </c>
      <c r="H15">
        <v>997.42</v>
      </c>
      <c r="I15" s="20">
        <f t="shared" si="1"/>
        <v>2.2340230000000001</v>
      </c>
      <c r="J15" s="15">
        <f t="shared" si="2"/>
        <v>8.2599865802635009E-3</v>
      </c>
    </row>
    <row r="16" spans="1:10" x14ac:dyDescent="0.2">
      <c r="A16" t="s">
        <v>255</v>
      </c>
      <c r="B16" t="s">
        <v>143</v>
      </c>
      <c r="C16">
        <v>2.95</v>
      </c>
      <c r="D16">
        <v>0.01</v>
      </c>
      <c r="E16">
        <f t="shared" si="3"/>
        <v>2.108365</v>
      </c>
      <c r="F16" t="s">
        <v>119</v>
      </c>
      <c r="G16">
        <v>22943.72</v>
      </c>
      <c r="H16">
        <v>765.4</v>
      </c>
      <c r="I16" s="20">
        <f t="shared" si="1"/>
        <v>2.2943720000000001</v>
      </c>
      <c r="J16" s="15">
        <f t="shared" si="2"/>
        <v>8.1070985873258561E-2</v>
      </c>
    </row>
    <row r="17" spans="1:10" x14ac:dyDescent="0.2">
      <c r="A17" t="s">
        <v>255</v>
      </c>
      <c r="B17" t="s">
        <v>143</v>
      </c>
      <c r="C17">
        <v>2.95</v>
      </c>
      <c r="D17">
        <v>0.01</v>
      </c>
      <c r="E17">
        <f t="shared" si="3"/>
        <v>2.108365</v>
      </c>
      <c r="F17" t="s">
        <v>120</v>
      </c>
      <c r="G17">
        <v>23566.59</v>
      </c>
      <c r="H17">
        <v>772.99</v>
      </c>
      <c r="I17" s="20">
        <f t="shared" si="1"/>
        <v>2.3566590000000001</v>
      </c>
      <c r="J17" s="15">
        <f t="shared" si="2"/>
        <v>0.10535847570649803</v>
      </c>
    </row>
    <row r="18" spans="1:10" x14ac:dyDescent="0.2">
      <c r="A18" t="s">
        <v>255</v>
      </c>
      <c r="B18" t="s">
        <v>143</v>
      </c>
      <c r="C18">
        <v>2.95</v>
      </c>
      <c r="D18">
        <v>0.01</v>
      </c>
      <c r="E18">
        <f t="shared" si="3"/>
        <v>2.108365</v>
      </c>
      <c r="F18" t="s">
        <v>121</v>
      </c>
      <c r="G18">
        <v>23711.68</v>
      </c>
      <c r="H18">
        <v>775.72</v>
      </c>
      <c r="I18" s="20">
        <f t="shared" si="1"/>
        <v>2.3711679999999999</v>
      </c>
      <c r="J18" s="15">
        <f t="shared" si="2"/>
        <v>0.11083272041458048</v>
      </c>
    </row>
    <row r="19" spans="1:10" x14ac:dyDescent="0.2">
      <c r="A19" t="s">
        <v>254</v>
      </c>
      <c r="B19" t="s">
        <v>143</v>
      </c>
      <c r="C19">
        <v>1.4</v>
      </c>
      <c r="D19">
        <v>7.0000000000000007E-2</v>
      </c>
      <c r="E19">
        <f t="shared" si="3"/>
        <v>1.00058</v>
      </c>
      <c r="F19" t="s">
        <v>122</v>
      </c>
      <c r="G19">
        <v>11617.54</v>
      </c>
      <c r="H19">
        <v>507.9</v>
      </c>
      <c r="I19" s="20">
        <f t="shared" si="1"/>
        <v>1.1617540000000002</v>
      </c>
      <c r="J19" s="15">
        <f t="shared" si="2"/>
        <v>0.13873332908688085</v>
      </c>
    </row>
    <row r="20" spans="1:10" x14ac:dyDescent="0.2">
      <c r="A20" t="s">
        <v>254</v>
      </c>
      <c r="B20" t="s">
        <v>143</v>
      </c>
      <c r="C20">
        <v>1.4</v>
      </c>
      <c r="D20">
        <v>7.0000000000000007E-2</v>
      </c>
      <c r="E20">
        <f t="shared" si="3"/>
        <v>1.00058</v>
      </c>
      <c r="F20" t="s">
        <v>123</v>
      </c>
      <c r="G20">
        <v>11689.08</v>
      </c>
      <c r="H20">
        <v>514.6</v>
      </c>
      <c r="I20" s="20">
        <f t="shared" si="1"/>
        <v>1.1689080000000001</v>
      </c>
      <c r="J20" s="15">
        <f t="shared" si="2"/>
        <v>0.14400448966043522</v>
      </c>
    </row>
    <row r="21" spans="1:10" x14ac:dyDescent="0.2">
      <c r="A21" t="s">
        <v>254</v>
      </c>
      <c r="B21" t="s">
        <v>143</v>
      </c>
      <c r="C21">
        <v>1.4</v>
      </c>
      <c r="D21">
        <v>7.0000000000000007E-2</v>
      </c>
      <c r="E21">
        <f t="shared" si="3"/>
        <v>1.00058</v>
      </c>
      <c r="F21" t="s">
        <v>124</v>
      </c>
      <c r="G21">
        <v>11780.74</v>
      </c>
      <c r="H21">
        <v>511.65</v>
      </c>
      <c r="I21" s="20">
        <f t="shared" si="1"/>
        <v>1.1780740000000001</v>
      </c>
      <c r="J21" s="15">
        <f t="shared" si="2"/>
        <v>0.15066455927216804</v>
      </c>
    </row>
    <row r="22" spans="1:10" x14ac:dyDescent="0.2">
      <c r="A22" t="s">
        <v>313</v>
      </c>
      <c r="B22" t="s">
        <v>280</v>
      </c>
      <c r="C22">
        <v>0.61</v>
      </c>
      <c r="D22">
        <v>0.02</v>
      </c>
      <c r="E22">
        <f>C22</f>
        <v>0.61</v>
      </c>
      <c r="F22" t="s">
        <v>131</v>
      </c>
      <c r="G22">
        <v>4910.4799999999996</v>
      </c>
      <c r="H22">
        <v>144.19999999999999</v>
      </c>
      <c r="I22" s="20">
        <f t="shared" si="1"/>
        <v>0.49104799999999993</v>
      </c>
      <c r="J22" s="15">
        <f t="shared" si="2"/>
        <v>-0.24224108437464387</v>
      </c>
    </row>
    <row r="23" spans="1:10" x14ac:dyDescent="0.2">
      <c r="A23" t="s">
        <v>313</v>
      </c>
      <c r="B23" t="s">
        <v>280</v>
      </c>
      <c r="C23">
        <v>0.61</v>
      </c>
      <c r="D23">
        <v>0.02</v>
      </c>
      <c r="E23">
        <f>C23</f>
        <v>0.61</v>
      </c>
      <c r="F23" t="s">
        <v>132</v>
      </c>
      <c r="G23">
        <v>4782.74</v>
      </c>
      <c r="H23">
        <v>147.56</v>
      </c>
      <c r="I23" s="20">
        <f t="shared" si="1"/>
        <v>0.47827399999999998</v>
      </c>
      <c r="J23" s="15">
        <f t="shared" si="2"/>
        <v>-0.27541952939110215</v>
      </c>
    </row>
    <row r="24" spans="1:10" x14ac:dyDescent="0.2">
      <c r="A24" t="s">
        <v>313</v>
      </c>
      <c r="B24" t="s">
        <v>280</v>
      </c>
      <c r="C24">
        <v>0.61</v>
      </c>
      <c r="D24">
        <v>0.02</v>
      </c>
      <c r="E24">
        <f>C24</f>
        <v>0.61</v>
      </c>
      <c r="F24" t="s">
        <v>133</v>
      </c>
      <c r="G24">
        <v>4903.37</v>
      </c>
      <c r="H24">
        <v>142.63</v>
      </c>
      <c r="I24" s="20">
        <f t="shared" si="1"/>
        <v>0.49033699999999997</v>
      </c>
      <c r="J24" s="15">
        <f t="shared" si="2"/>
        <v>-0.24404236270157065</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4"/>
  <sheetViews>
    <sheetView topLeftCell="F2" workbookViewId="0">
      <selection activeCell="G4" sqref="G4"/>
    </sheetView>
  </sheetViews>
  <sheetFormatPr baseColWidth="10" defaultColWidth="8.83203125" defaultRowHeight="15" x14ac:dyDescent="0.2"/>
  <cols>
    <col min="3" max="3" width="10.1640625" bestFit="1" customWidth="1"/>
    <col min="4" max="5" width="10.1640625" customWidth="1"/>
  </cols>
  <sheetData>
    <row r="1" spans="1:9" ht="16" thickBot="1" x14ac:dyDescent="0.25">
      <c r="A1" t="s">
        <v>138</v>
      </c>
      <c r="B1" t="s">
        <v>345</v>
      </c>
      <c r="C1" s="47" t="s">
        <v>346</v>
      </c>
      <c r="D1" s="48"/>
      <c r="E1" s="49"/>
      <c r="F1" s="47" t="s">
        <v>347</v>
      </c>
      <c r="G1" s="48"/>
      <c r="H1" s="49"/>
    </row>
    <row r="2" spans="1:9" x14ac:dyDescent="0.2">
      <c r="C2" t="s">
        <v>103</v>
      </c>
      <c r="D2" t="s">
        <v>348</v>
      </c>
      <c r="E2" t="s">
        <v>349</v>
      </c>
      <c r="F2" t="s">
        <v>103</v>
      </c>
      <c r="G2" t="s">
        <v>348</v>
      </c>
      <c r="H2" t="s">
        <v>349</v>
      </c>
    </row>
    <row r="3" spans="1:9" x14ac:dyDescent="0.2">
      <c r="A3" t="s">
        <v>96</v>
      </c>
      <c r="B3" t="s">
        <v>259</v>
      </c>
      <c r="G3">
        <v>31.1</v>
      </c>
      <c r="H3">
        <v>0.4</v>
      </c>
    </row>
    <row r="4" spans="1:9" x14ac:dyDescent="0.2">
      <c r="A4" t="s">
        <v>92</v>
      </c>
      <c r="B4" t="s">
        <v>259</v>
      </c>
      <c r="G4">
        <v>7.88</v>
      </c>
      <c r="H4">
        <v>0.11</v>
      </c>
    </row>
    <row r="5" spans="1:9" x14ac:dyDescent="0.2">
      <c r="A5" t="s">
        <v>46</v>
      </c>
      <c r="B5" t="s">
        <v>260</v>
      </c>
      <c r="G5">
        <v>9.66</v>
      </c>
      <c r="H5">
        <v>0.15</v>
      </c>
    </row>
    <row r="6" spans="1:9" x14ac:dyDescent="0.2">
      <c r="A6" t="s">
        <v>54</v>
      </c>
      <c r="B6" t="s">
        <v>260</v>
      </c>
      <c r="G6">
        <v>1.35</v>
      </c>
      <c r="H6">
        <v>0.03</v>
      </c>
    </row>
    <row r="7" spans="1:9" x14ac:dyDescent="0.2">
      <c r="A7" t="s">
        <v>100</v>
      </c>
      <c r="B7" t="s">
        <v>260</v>
      </c>
      <c r="G7">
        <v>2.16</v>
      </c>
      <c r="H7">
        <v>0.03</v>
      </c>
    </row>
    <row r="8" spans="1:9" x14ac:dyDescent="0.2">
      <c r="A8" t="s">
        <v>58</v>
      </c>
      <c r="B8" t="s">
        <v>113</v>
      </c>
      <c r="G8">
        <v>3.72</v>
      </c>
      <c r="H8">
        <v>0.09</v>
      </c>
    </row>
    <row r="9" spans="1:9" x14ac:dyDescent="0.2">
      <c r="A9" t="s">
        <v>148</v>
      </c>
      <c r="B9" t="s">
        <v>113</v>
      </c>
      <c r="G9">
        <v>3.11</v>
      </c>
      <c r="H9">
        <v>0.09</v>
      </c>
    </row>
    <row r="10" spans="1:9" x14ac:dyDescent="0.2">
      <c r="A10" t="s">
        <v>60</v>
      </c>
      <c r="B10" t="s">
        <v>259</v>
      </c>
      <c r="G10">
        <v>4.4800000000000004</v>
      </c>
      <c r="H10">
        <v>0.12</v>
      </c>
    </row>
    <row r="11" spans="1:9" x14ac:dyDescent="0.2">
      <c r="A11" t="s">
        <v>22</v>
      </c>
      <c r="B11" t="s">
        <v>259</v>
      </c>
      <c r="F11">
        <v>245</v>
      </c>
      <c r="G11">
        <f>F11/10^4</f>
        <v>2.4500000000000001E-2</v>
      </c>
      <c r="H11">
        <v>7</v>
      </c>
    </row>
    <row r="12" spans="1:9" x14ac:dyDescent="0.2">
      <c r="A12" t="s">
        <v>18</v>
      </c>
      <c r="B12" t="s">
        <v>256</v>
      </c>
      <c r="F12">
        <v>680</v>
      </c>
      <c r="G12">
        <f>F12/10^4</f>
        <v>6.8000000000000005E-2</v>
      </c>
      <c r="H12">
        <v>3</v>
      </c>
    </row>
    <row r="13" spans="1:9" x14ac:dyDescent="0.2">
      <c r="A13" t="s">
        <v>64</v>
      </c>
      <c r="B13" t="s">
        <v>256</v>
      </c>
      <c r="F13">
        <v>3350</v>
      </c>
      <c r="G13">
        <f>F13/10^4</f>
        <v>0.33500000000000002</v>
      </c>
      <c r="H13">
        <v>28</v>
      </c>
    </row>
    <row r="14" spans="1:9" x14ac:dyDescent="0.2">
      <c r="A14" t="s">
        <v>48</v>
      </c>
      <c r="B14" t="s">
        <v>327</v>
      </c>
      <c r="F14">
        <v>5220</v>
      </c>
      <c r="G14">
        <f t="shared" ref="G14:G23" si="0">F14/10^4</f>
        <v>0.52200000000000002</v>
      </c>
      <c r="H14">
        <v>300</v>
      </c>
    </row>
    <row r="15" spans="1:9" x14ac:dyDescent="0.2">
      <c r="A15" t="s">
        <v>24</v>
      </c>
      <c r="B15" t="s">
        <v>259</v>
      </c>
      <c r="F15">
        <v>105</v>
      </c>
      <c r="G15">
        <f t="shared" si="0"/>
        <v>1.0500000000000001E-2</v>
      </c>
      <c r="H15">
        <v>8</v>
      </c>
      <c r="I15" t="s">
        <v>355</v>
      </c>
    </row>
    <row r="16" spans="1:9" x14ac:dyDescent="0.2">
      <c r="A16" t="s">
        <v>16</v>
      </c>
      <c r="B16" t="s">
        <v>259</v>
      </c>
      <c r="F16">
        <v>550</v>
      </c>
      <c r="G16">
        <f t="shared" si="0"/>
        <v>5.5E-2</v>
      </c>
      <c r="H16">
        <v>30</v>
      </c>
    </row>
    <row r="17" spans="1:9" x14ac:dyDescent="0.2">
      <c r="A17" t="s">
        <v>28</v>
      </c>
      <c r="B17" t="s">
        <v>327</v>
      </c>
      <c r="F17">
        <v>0.46200000000000002</v>
      </c>
      <c r="G17">
        <f t="shared" si="0"/>
        <v>4.6200000000000005E-5</v>
      </c>
      <c r="H17">
        <v>0.21</v>
      </c>
    </row>
    <row r="18" spans="1:9" x14ac:dyDescent="0.2">
      <c r="A18" t="s">
        <v>50</v>
      </c>
      <c r="B18" t="s">
        <v>255</v>
      </c>
      <c r="F18">
        <v>109</v>
      </c>
      <c r="G18">
        <f t="shared" si="0"/>
        <v>1.09E-2</v>
      </c>
      <c r="H18">
        <v>1</v>
      </c>
    </row>
    <row r="19" spans="1:9" x14ac:dyDescent="0.2">
      <c r="A19" t="s">
        <v>52</v>
      </c>
      <c r="B19" t="s">
        <v>256</v>
      </c>
      <c r="F19">
        <v>570</v>
      </c>
      <c r="G19">
        <f t="shared" si="0"/>
        <v>5.7000000000000002E-2</v>
      </c>
      <c r="H19">
        <v>10</v>
      </c>
    </row>
    <row r="20" spans="1:9" x14ac:dyDescent="0.2">
      <c r="A20" t="s">
        <v>44</v>
      </c>
      <c r="B20" t="s">
        <v>256</v>
      </c>
      <c r="F20">
        <v>2240</v>
      </c>
      <c r="G20">
        <f t="shared" si="0"/>
        <v>0.224</v>
      </c>
      <c r="H20">
        <v>11</v>
      </c>
    </row>
    <row r="21" spans="1:9" x14ac:dyDescent="0.2">
      <c r="A21" t="s">
        <v>42</v>
      </c>
      <c r="B21" t="s">
        <v>256</v>
      </c>
      <c r="F21">
        <v>13400</v>
      </c>
      <c r="G21">
        <f t="shared" si="0"/>
        <v>1.34</v>
      </c>
      <c r="H21">
        <v>64</v>
      </c>
    </row>
    <row r="22" spans="1:9" x14ac:dyDescent="0.2">
      <c r="A22" t="s">
        <v>40</v>
      </c>
      <c r="B22" t="s">
        <v>256</v>
      </c>
      <c r="F22">
        <v>11500</v>
      </c>
      <c r="G22">
        <f t="shared" si="0"/>
        <v>1.1499999999999999</v>
      </c>
      <c r="H22">
        <v>49</v>
      </c>
    </row>
    <row r="23" spans="1:9" x14ac:dyDescent="0.2">
      <c r="A23" t="s">
        <v>36</v>
      </c>
      <c r="B23" t="s">
        <v>256</v>
      </c>
      <c r="F23">
        <v>1600</v>
      </c>
      <c r="G23">
        <f t="shared" si="0"/>
        <v>0.16</v>
      </c>
      <c r="H23">
        <v>6</v>
      </c>
    </row>
    <row r="24" spans="1:9" x14ac:dyDescent="0.2">
      <c r="A24" t="s">
        <v>94</v>
      </c>
      <c r="B24" t="s">
        <v>113</v>
      </c>
      <c r="G24">
        <v>0.20948192068978944</v>
      </c>
      <c r="H24">
        <v>0.02</v>
      </c>
    </row>
    <row r="25" spans="1:9" x14ac:dyDescent="0.2">
      <c r="A25" t="s">
        <v>62</v>
      </c>
      <c r="B25" t="s">
        <v>255</v>
      </c>
      <c r="G25">
        <v>0.71499999999999997</v>
      </c>
      <c r="H25">
        <v>8.0000000000000002E-3</v>
      </c>
    </row>
    <row r="26" spans="1:9" x14ac:dyDescent="0.2">
      <c r="A26" t="s">
        <v>32</v>
      </c>
      <c r="B26" t="s">
        <v>327</v>
      </c>
      <c r="F26">
        <v>38.799999999999997</v>
      </c>
      <c r="H26">
        <v>2.6</v>
      </c>
    </row>
    <row r="27" spans="1:9" x14ac:dyDescent="0.2">
      <c r="A27" t="s">
        <v>34</v>
      </c>
      <c r="B27" t="s">
        <v>354</v>
      </c>
    </row>
    <row r="28" spans="1:9" x14ac:dyDescent="0.2">
      <c r="A28" t="s">
        <v>56</v>
      </c>
      <c r="B28" t="s">
        <v>260</v>
      </c>
      <c r="F28">
        <v>33</v>
      </c>
      <c r="H28">
        <v>2</v>
      </c>
    </row>
    <row r="29" spans="1:9" x14ac:dyDescent="0.2">
      <c r="A29" t="s">
        <v>82</v>
      </c>
      <c r="B29" t="s">
        <v>327</v>
      </c>
      <c r="F29">
        <v>29.9</v>
      </c>
      <c r="H29">
        <v>3.37</v>
      </c>
    </row>
    <row r="30" spans="1:9" x14ac:dyDescent="0.2">
      <c r="A30" t="s">
        <v>159</v>
      </c>
      <c r="B30" t="s">
        <v>259</v>
      </c>
      <c r="F30">
        <v>180</v>
      </c>
      <c r="H30">
        <v>12</v>
      </c>
      <c r="I30" t="s">
        <v>355</v>
      </c>
    </row>
    <row r="31" spans="1:9" x14ac:dyDescent="0.2">
      <c r="A31" t="s">
        <v>154</v>
      </c>
      <c r="B31" t="s">
        <v>259</v>
      </c>
      <c r="F31">
        <v>410</v>
      </c>
      <c r="H31">
        <v>30</v>
      </c>
      <c r="I31" t="s">
        <v>355</v>
      </c>
    </row>
    <row r="32" spans="1:9" x14ac:dyDescent="0.2">
      <c r="A32" t="s">
        <v>160</v>
      </c>
      <c r="B32" t="s">
        <v>256</v>
      </c>
      <c r="F32">
        <v>13</v>
      </c>
    </row>
    <row r="33" spans="1:8" x14ac:dyDescent="0.2">
      <c r="A33" t="s">
        <v>158</v>
      </c>
      <c r="B33" t="s">
        <v>260</v>
      </c>
      <c r="F33">
        <v>37</v>
      </c>
      <c r="H33">
        <v>2</v>
      </c>
    </row>
    <row r="34" spans="1:8" x14ac:dyDescent="0.2">
      <c r="A34" t="s">
        <v>350</v>
      </c>
      <c r="B34" t="s">
        <v>255</v>
      </c>
      <c r="F34">
        <v>5.76</v>
      </c>
      <c r="H34">
        <v>0.11</v>
      </c>
    </row>
  </sheetData>
  <mergeCells count="2">
    <mergeCell ref="C1:E1"/>
    <mergeCell ref="F1:H1"/>
  </mergeCell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3:J24"/>
  <sheetViews>
    <sheetView topLeftCell="M1" workbookViewId="0">
      <selection activeCell="G26" sqref="G26"/>
    </sheetView>
  </sheetViews>
  <sheetFormatPr baseColWidth="10" defaultColWidth="8.83203125" defaultRowHeight="15" x14ac:dyDescent="0.2"/>
  <cols>
    <col min="2" max="2" width="17.6640625" bestFit="1" customWidth="1"/>
    <col min="5" max="5" width="12.83203125" bestFit="1" customWidth="1"/>
    <col min="6" max="8" width="11" customWidth="1"/>
    <col min="9" max="9" width="17.5" bestFit="1" customWidth="1"/>
  </cols>
  <sheetData>
    <row r="3" spans="1:10" x14ac:dyDescent="0.2">
      <c r="A3" t="s">
        <v>253</v>
      </c>
      <c r="B3" t="s">
        <v>141</v>
      </c>
      <c r="C3" t="s">
        <v>314</v>
      </c>
      <c r="D3" t="s">
        <v>140</v>
      </c>
      <c r="E3" t="s">
        <v>252</v>
      </c>
      <c r="F3" t="s">
        <v>258</v>
      </c>
      <c r="G3" t="s">
        <v>103</v>
      </c>
      <c r="H3" t="s">
        <v>272</v>
      </c>
      <c r="I3" t="s">
        <v>257</v>
      </c>
    </row>
    <row r="4" spans="1:10" x14ac:dyDescent="0.2">
      <c r="A4" t="s">
        <v>260</v>
      </c>
      <c r="B4" t="s">
        <v>60</v>
      </c>
      <c r="C4">
        <v>1.49</v>
      </c>
      <c r="D4">
        <v>0.04</v>
      </c>
      <c r="E4">
        <f t="shared" ref="E4:E12" si="0">C4</f>
        <v>1.49</v>
      </c>
      <c r="F4" t="s">
        <v>106</v>
      </c>
      <c r="G4">
        <v>14656.87</v>
      </c>
      <c r="H4">
        <v>413.36</v>
      </c>
      <c r="I4" s="20">
        <f>G4/10^4</f>
        <v>1.4656870000000002</v>
      </c>
      <c r="J4" s="15">
        <f>1-E4/I4</f>
        <v>-1.6588125568419265E-2</v>
      </c>
    </row>
    <row r="5" spans="1:10" x14ac:dyDescent="0.2">
      <c r="A5" t="s">
        <v>260</v>
      </c>
      <c r="B5" t="s">
        <v>60</v>
      </c>
      <c r="C5">
        <v>1.49</v>
      </c>
      <c r="D5">
        <v>0.04</v>
      </c>
      <c r="E5">
        <f t="shared" si="0"/>
        <v>1.49</v>
      </c>
      <c r="F5" t="s">
        <v>108</v>
      </c>
      <c r="G5">
        <v>14484.8</v>
      </c>
      <c r="H5">
        <v>414.87</v>
      </c>
      <c r="I5" s="20">
        <f t="shared" ref="I5:I24" si="1">G5/10^4</f>
        <v>1.44848</v>
      </c>
      <c r="J5" s="15">
        <f t="shared" ref="J5:J24" si="2">1-E5/I5</f>
        <v>-2.8664531094664714E-2</v>
      </c>
    </row>
    <row r="6" spans="1:10" x14ac:dyDescent="0.2">
      <c r="A6" t="s">
        <v>260</v>
      </c>
      <c r="B6" t="s">
        <v>60</v>
      </c>
      <c r="C6">
        <v>1.49</v>
      </c>
      <c r="D6">
        <v>0.04</v>
      </c>
      <c r="E6">
        <f t="shared" si="0"/>
        <v>1.49</v>
      </c>
      <c r="F6" t="s">
        <v>109</v>
      </c>
      <c r="G6">
        <v>14609.36</v>
      </c>
      <c r="H6">
        <v>426.32</v>
      </c>
      <c r="I6" s="20">
        <f t="shared" si="1"/>
        <v>1.460936</v>
      </c>
      <c r="J6" s="15">
        <f t="shared" si="2"/>
        <v>-1.9894095292333214E-2</v>
      </c>
    </row>
    <row r="7" spans="1:10" x14ac:dyDescent="0.2">
      <c r="A7" t="s">
        <v>259</v>
      </c>
      <c r="B7" t="s">
        <v>60</v>
      </c>
      <c r="C7">
        <v>4.4800000000000004</v>
      </c>
      <c r="D7">
        <v>0.12</v>
      </c>
      <c r="E7">
        <f t="shared" si="0"/>
        <v>4.4800000000000004</v>
      </c>
      <c r="F7" t="s">
        <v>110</v>
      </c>
      <c r="G7">
        <v>41957.8</v>
      </c>
      <c r="H7">
        <v>560.77</v>
      </c>
      <c r="I7" s="20">
        <f t="shared" si="1"/>
        <v>4.1957800000000001</v>
      </c>
      <c r="J7" s="15">
        <f t="shared" si="2"/>
        <v>-6.773949063106266E-2</v>
      </c>
    </row>
    <row r="8" spans="1:10" x14ac:dyDescent="0.2">
      <c r="A8" t="s">
        <v>259</v>
      </c>
      <c r="B8" t="s">
        <v>60</v>
      </c>
      <c r="C8">
        <v>4.4800000000000004</v>
      </c>
      <c r="D8">
        <v>0.12</v>
      </c>
      <c r="E8">
        <f t="shared" si="0"/>
        <v>4.4800000000000004</v>
      </c>
      <c r="F8" t="s">
        <v>111</v>
      </c>
      <c r="G8">
        <v>41996.66</v>
      </c>
      <c r="H8">
        <v>565.21</v>
      </c>
      <c r="I8" s="20">
        <f t="shared" si="1"/>
        <v>4.1996660000000006</v>
      </c>
      <c r="J8" s="15">
        <f t="shared" si="2"/>
        <v>-6.6751498809667131E-2</v>
      </c>
    </row>
    <row r="9" spans="1:10" x14ac:dyDescent="0.2">
      <c r="A9" t="s">
        <v>259</v>
      </c>
      <c r="B9" t="s">
        <v>60</v>
      </c>
      <c r="C9">
        <v>4.4800000000000004</v>
      </c>
      <c r="D9">
        <v>0.12</v>
      </c>
      <c r="E9">
        <f t="shared" si="0"/>
        <v>4.4800000000000004</v>
      </c>
      <c r="F9" t="s">
        <v>112</v>
      </c>
      <c r="G9">
        <v>42092.59</v>
      </c>
      <c r="H9">
        <v>553.61</v>
      </c>
      <c r="I9" s="20">
        <f t="shared" si="1"/>
        <v>4.2092589999999994</v>
      </c>
      <c r="J9" s="15">
        <f t="shared" si="2"/>
        <v>-6.4320347120479182E-2</v>
      </c>
    </row>
    <row r="10" spans="1:10" x14ac:dyDescent="0.2">
      <c r="A10" t="s">
        <v>113</v>
      </c>
      <c r="B10" t="s">
        <v>60</v>
      </c>
      <c r="C10">
        <v>2.39</v>
      </c>
      <c r="D10">
        <v>0.09</v>
      </c>
      <c r="E10">
        <f t="shared" si="0"/>
        <v>2.39</v>
      </c>
      <c r="F10" t="s">
        <v>113</v>
      </c>
      <c r="G10">
        <v>21774.01</v>
      </c>
      <c r="H10">
        <v>423.15</v>
      </c>
      <c r="I10" s="20">
        <f t="shared" si="1"/>
        <v>2.1774009999999997</v>
      </c>
      <c r="J10" s="15">
        <f t="shared" si="2"/>
        <v>-9.7638882318874964E-2</v>
      </c>
    </row>
    <row r="11" spans="1:10" x14ac:dyDescent="0.2">
      <c r="A11" t="s">
        <v>113</v>
      </c>
      <c r="B11" t="s">
        <v>60</v>
      </c>
      <c r="C11">
        <v>2.39</v>
      </c>
      <c r="D11">
        <v>0.09</v>
      </c>
      <c r="E11">
        <f t="shared" si="0"/>
        <v>2.39</v>
      </c>
      <c r="F11" t="s">
        <v>114</v>
      </c>
      <c r="G11">
        <v>21950.01</v>
      </c>
      <c r="H11">
        <v>427.3</v>
      </c>
      <c r="I11" s="20">
        <f t="shared" si="1"/>
        <v>2.195001</v>
      </c>
      <c r="J11" s="15">
        <f t="shared" si="2"/>
        <v>-8.8837772739055687E-2</v>
      </c>
    </row>
    <row r="12" spans="1:10" x14ac:dyDescent="0.2">
      <c r="A12" t="s">
        <v>113</v>
      </c>
      <c r="B12" t="s">
        <v>60</v>
      </c>
      <c r="C12">
        <v>2.39</v>
      </c>
      <c r="D12">
        <v>0.09</v>
      </c>
      <c r="E12">
        <f t="shared" si="0"/>
        <v>2.39</v>
      </c>
      <c r="F12" t="s">
        <v>115</v>
      </c>
      <c r="G12">
        <v>21665.13</v>
      </c>
      <c r="H12">
        <v>424.79</v>
      </c>
      <c r="I12" s="20">
        <f t="shared" si="1"/>
        <v>2.1665130000000001</v>
      </c>
      <c r="J12" s="15">
        <f t="shared" si="2"/>
        <v>-0.10315516223535237</v>
      </c>
    </row>
    <row r="13" spans="1:10" x14ac:dyDescent="0.2">
      <c r="A13" t="s">
        <v>256</v>
      </c>
      <c r="B13" t="s">
        <v>146</v>
      </c>
      <c r="C13">
        <v>1.2</v>
      </c>
      <c r="D13">
        <v>1.4E-2</v>
      </c>
      <c r="E13">
        <f t="shared" ref="E13:E18" si="3">C13*0.8301</f>
        <v>0.99611999999999989</v>
      </c>
      <c r="F13" t="s">
        <v>116</v>
      </c>
      <c r="G13">
        <v>13563.41</v>
      </c>
      <c r="H13">
        <v>555.13</v>
      </c>
      <c r="I13" s="20">
        <f t="shared" si="1"/>
        <v>1.356341</v>
      </c>
      <c r="J13" s="15">
        <f t="shared" si="2"/>
        <v>0.26558291757013919</v>
      </c>
    </row>
    <row r="14" spans="1:10" x14ac:dyDescent="0.2">
      <c r="A14" t="s">
        <v>256</v>
      </c>
      <c r="B14" t="s">
        <v>146</v>
      </c>
      <c r="C14">
        <v>1.2</v>
      </c>
      <c r="D14">
        <v>1.4E-2</v>
      </c>
      <c r="E14">
        <f t="shared" si="3"/>
        <v>0.99611999999999989</v>
      </c>
      <c r="F14" t="s">
        <v>117</v>
      </c>
      <c r="G14">
        <v>13849.76</v>
      </c>
      <c r="H14">
        <v>568.12</v>
      </c>
      <c r="I14" s="20">
        <f t="shared" si="1"/>
        <v>1.384976</v>
      </c>
      <c r="J14" s="15">
        <f t="shared" si="2"/>
        <v>0.28076732015572836</v>
      </c>
    </row>
    <row r="15" spans="1:10" x14ac:dyDescent="0.2">
      <c r="A15" t="s">
        <v>256</v>
      </c>
      <c r="B15" t="s">
        <v>146</v>
      </c>
      <c r="C15">
        <v>1.2</v>
      </c>
      <c r="D15">
        <v>1.4E-2</v>
      </c>
      <c r="E15">
        <f t="shared" si="3"/>
        <v>0.99611999999999989</v>
      </c>
      <c r="F15" t="s">
        <v>118</v>
      </c>
      <c r="G15">
        <v>13210.77</v>
      </c>
      <c r="H15">
        <v>549.04</v>
      </c>
      <c r="I15" s="20">
        <f t="shared" si="1"/>
        <v>1.3210770000000001</v>
      </c>
      <c r="J15" s="15">
        <f t="shared" si="2"/>
        <v>0.24597884907541356</v>
      </c>
    </row>
    <row r="16" spans="1:10" x14ac:dyDescent="0.2">
      <c r="A16" t="s">
        <v>255</v>
      </c>
      <c r="B16" t="s">
        <v>146</v>
      </c>
      <c r="C16">
        <v>3.45</v>
      </c>
      <c r="D16">
        <v>0.01</v>
      </c>
      <c r="E16">
        <f t="shared" si="3"/>
        <v>2.863845</v>
      </c>
      <c r="F16" t="s">
        <v>119</v>
      </c>
      <c r="G16">
        <v>26470.38</v>
      </c>
      <c r="H16">
        <v>521.51</v>
      </c>
      <c r="I16" s="20">
        <f t="shared" si="1"/>
        <v>2.6470380000000002</v>
      </c>
      <c r="J16" s="15">
        <f t="shared" si="2"/>
        <v>-8.1905510990019748E-2</v>
      </c>
    </row>
    <row r="17" spans="1:10" x14ac:dyDescent="0.2">
      <c r="A17" t="s">
        <v>255</v>
      </c>
      <c r="B17" t="s">
        <v>146</v>
      </c>
      <c r="C17">
        <v>3.45</v>
      </c>
      <c r="D17">
        <v>0.01</v>
      </c>
      <c r="E17">
        <f t="shared" si="3"/>
        <v>2.863845</v>
      </c>
      <c r="F17" t="s">
        <v>120</v>
      </c>
      <c r="G17">
        <v>27704.68</v>
      </c>
      <c r="H17">
        <v>530.46</v>
      </c>
      <c r="I17" s="20">
        <f t="shared" si="1"/>
        <v>2.7704680000000002</v>
      </c>
      <c r="J17" s="15">
        <f t="shared" si="2"/>
        <v>-3.3704413839105829E-2</v>
      </c>
    </row>
    <row r="18" spans="1:10" x14ac:dyDescent="0.2">
      <c r="A18" t="s">
        <v>255</v>
      </c>
      <c r="B18" t="s">
        <v>146</v>
      </c>
      <c r="C18">
        <v>3.45</v>
      </c>
      <c r="D18">
        <v>0.01</v>
      </c>
      <c r="E18">
        <f t="shared" si="3"/>
        <v>2.863845</v>
      </c>
      <c r="F18" t="s">
        <v>121</v>
      </c>
      <c r="G18">
        <v>27135.15</v>
      </c>
      <c r="H18">
        <v>527.66999999999996</v>
      </c>
      <c r="I18" s="20">
        <f t="shared" si="1"/>
        <v>2.7135150000000001</v>
      </c>
      <c r="J18" s="15">
        <f t="shared" si="2"/>
        <v>-5.5400467659106223E-2</v>
      </c>
    </row>
    <row r="19" spans="1:10" x14ac:dyDescent="0.2">
      <c r="A19" t="s">
        <v>254</v>
      </c>
      <c r="B19" t="s">
        <v>146</v>
      </c>
      <c r="C19">
        <v>3.28</v>
      </c>
      <c r="D19">
        <v>0.1</v>
      </c>
      <c r="E19">
        <f t="shared" ref="E19:E24" si="4">C19*0.8301</f>
        <v>2.7227279999999996</v>
      </c>
      <c r="F19" t="s">
        <v>122</v>
      </c>
      <c r="G19">
        <v>24913.360000000001</v>
      </c>
      <c r="H19">
        <v>443.39</v>
      </c>
      <c r="I19" s="20">
        <f t="shared" si="1"/>
        <v>2.491336</v>
      </c>
      <c r="J19" s="15">
        <f t="shared" si="2"/>
        <v>-9.2878680354636867E-2</v>
      </c>
    </row>
    <row r="20" spans="1:10" x14ac:dyDescent="0.2">
      <c r="A20" t="s">
        <v>254</v>
      </c>
      <c r="B20" t="s">
        <v>146</v>
      </c>
      <c r="C20">
        <v>3.28</v>
      </c>
      <c r="D20">
        <v>0.1</v>
      </c>
      <c r="E20">
        <f t="shared" si="4"/>
        <v>2.7227279999999996</v>
      </c>
      <c r="F20" t="s">
        <v>123</v>
      </c>
      <c r="G20">
        <v>24714.01</v>
      </c>
      <c r="H20">
        <v>448.56</v>
      </c>
      <c r="I20" s="20">
        <f t="shared" si="1"/>
        <v>2.4714009999999997</v>
      </c>
      <c r="J20" s="15">
        <f t="shared" si="2"/>
        <v>-0.10169414028722978</v>
      </c>
    </row>
    <row r="21" spans="1:10" x14ac:dyDescent="0.2">
      <c r="A21" t="s">
        <v>254</v>
      </c>
      <c r="B21" t="s">
        <v>146</v>
      </c>
      <c r="C21">
        <v>3.28</v>
      </c>
      <c r="D21">
        <v>0.1</v>
      </c>
      <c r="E21">
        <f t="shared" si="4"/>
        <v>2.7227279999999996</v>
      </c>
      <c r="F21" t="s">
        <v>124</v>
      </c>
      <c r="G21">
        <v>24664.9</v>
      </c>
      <c r="H21">
        <v>446.21</v>
      </c>
      <c r="I21" s="20">
        <f t="shared" si="1"/>
        <v>2.4664900000000003</v>
      </c>
      <c r="J21" s="15">
        <f t="shared" si="2"/>
        <v>-0.10388771087658943</v>
      </c>
    </row>
    <row r="22" spans="1:10" x14ac:dyDescent="0.2">
      <c r="A22" t="s">
        <v>313</v>
      </c>
      <c r="B22" t="s">
        <v>285</v>
      </c>
      <c r="C22">
        <v>3.54</v>
      </c>
      <c r="D22">
        <v>7.0000000000000007E-2</v>
      </c>
      <c r="E22">
        <f t="shared" si="4"/>
        <v>2.9385539999999999</v>
      </c>
      <c r="F22" t="s">
        <v>131</v>
      </c>
      <c r="G22">
        <v>27787.95</v>
      </c>
      <c r="H22">
        <v>446.26</v>
      </c>
      <c r="I22" s="20">
        <f t="shared" si="1"/>
        <v>2.7787950000000001</v>
      </c>
      <c r="J22" s="15">
        <f t="shared" si="2"/>
        <v>-5.7492186361354447E-2</v>
      </c>
    </row>
    <row r="23" spans="1:10" x14ac:dyDescent="0.2">
      <c r="A23" t="s">
        <v>313</v>
      </c>
      <c r="B23" t="s">
        <v>285</v>
      </c>
      <c r="C23">
        <v>3.54</v>
      </c>
      <c r="D23">
        <v>7.0000000000000007E-2</v>
      </c>
      <c r="E23">
        <f t="shared" si="4"/>
        <v>2.9385539999999999</v>
      </c>
      <c r="F23" t="s">
        <v>132</v>
      </c>
      <c r="G23">
        <v>27804.5</v>
      </c>
      <c r="H23">
        <v>457.32</v>
      </c>
      <c r="I23" s="20">
        <f t="shared" si="1"/>
        <v>2.7804500000000001</v>
      </c>
      <c r="J23" s="15">
        <f t="shared" si="2"/>
        <v>-5.6862738045999617E-2</v>
      </c>
    </row>
    <row r="24" spans="1:10" x14ac:dyDescent="0.2">
      <c r="A24" t="s">
        <v>313</v>
      </c>
      <c r="B24" t="s">
        <v>285</v>
      </c>
      <c r="C24">
        <v>3.54</v>
      </c>
      <c r="D24">
        <v>7.0000000000000007E-2</v>
      </c>
      <c r="E24">
        <f t="shared" si="4"/>
        <v>2.9385539999999999</v>
      </c>
      <c r="F24" t="s">
        <v>133</v>
      </c>
      <c r="G24">
        <v>27675.31</v>
      </c>
      <c r="H24">
        <v>438.51</v>
      </c>
      <c r="I24" s="20">
        <f t="shared" si="1"/>
        <v>2.767531</v>
      </c>
      <c r="J24" s="15">
        <f t="shared" si="2"/>
        <v>-6.1796236428787843E-2</v>
      </c>
    </row>
  </sheetData>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3:J24"/>
  <sheetViews>
    <sheetView topLeftCell="L1" workbookViewId="0">
      <selection activeCell="G4" sqref="G4:H27"/>
    </sheetView>
  </sheetViews>
  <sheetFormatPr baseColWidth="10" defaultColWidth="8.83203125" defaultRowHeight="15" x14ac:dyDescent="0.2"/>
  <cols>
    <col min="2" max="2" width="17.6640625" bestFit="1" customWidth="1"/>
    <col min="5" max="5" width="12.83203125" bestFit="1" customWidth="1"/>
    <col min="6" max="8" width="11" customWidth="1"/>
    <col min="9" max="9" width="17.5" bestFit="1" customWidth="1"/>
  </cols>
  <sheetData>
    <row r="3" spans="1:10" x14ac:dyDescent="0.2">
      <c r="A3" t="s">
        <v>253</v>
      </c>
      <c r="B3" t="s">
        <v>315</v>
      </c>
      <c r="C3" t="s">
        <v>314</v>
      </c>
      <c r="D3" t="s">
        <v>140</v>
      </c>
      <c r="E3" t="s">
        <v>252</v>
      </c>
      <c r="F3" t="s">
        <v>258</v>
      </c>
      <c r="G3" t="s">
        <v>103</v>
      </c>
      <c r="H3" t="s">
        <v>272</v>
      </c>
      <c r="I3" t="s">
        <v>257</v>
      </c>
    </row>
    <row r="4" spans="1:10" x14ac:dyDescent="0.2">
      <c r="A4" t="s">
        <v>260</v>
      </c>
      <c r="B4" t="s">
        <v>48</v>
      </c>
      <c r="C4">
        <v>1520</v>
      </c>
      <c r="D4">
        <v>60</v>
      </c>
      <c r="E4">
        <f t="shared" ref="E4:E12" si="0">C4/10^4</f>
        <v>0.152</v>
      </c>
      <c r="F4" t="s">
        <v>106</v>
      </c>
      <c r="G4">
        <v>1552.93</v>
      </c>
      <c r="H4">
        <v>110.42</v>
      </c>
      <c r="I4" s="20">
        <f>G4/10^4</f>
        <v>0.15529300000000001</v>
      </c>
      <c r="J4" s="15">
        <f>1-E4/I4</f>
        <v>2.1205076854719951E-2</v>
      </c>
    </row>
    <row r="5" spans="1:10" x14ac:dyDescent="0.2">
      <c r="A5" t="s">
        <v>260</v>
      </c>
      <c r="B5" t="s">
        <v>48</v>
      </c>
      <c r="C5">
        <v>1520</v>
      </c>
      <c r="D5">
        <v>60</v>
      </c>
      <c r="E5">
        <f t="shared" si="0"/>
        <v>0.152</v>
      </c>
      <c r="F5" t="s">
        <v>108</v>
      </c>
      <c r="G5">
        <v>1619.72</v>
      </c>
      <c r="H5">
        <v>98</v>
      </c>
      <c r="I5" s="20">
        <f t="shared" ref="I5:I24" si="1">G5/10^4</f>
        <v>0.161972</v>
      </c>
      <c r="J5" s="15">
        <f t="shared" ref="J5:J24" si="2">1-E5/I5</f>
        <v>6.1566196626577474E-2</v>
      </c>
    </row>
    <row r="6" spans="1:10" x14ac:dyDescent="0.2">
      <c r="A6" t="s">
        <v>260</v>
      </c>
      <c r="B6" t="s">
        <v>48</v>
      </c>
      <c r="C6">
        <v>1520</v>
      </c>
      <c r="D6">
        <v>60</v>
      </c>
      <c r="E6">
        <f t="shared" si="0"/>
        <v>0.152</v>
      </c>
      <c r="F6" t="s">
        <v>109</v>
      </c>
      <c r="G6">
        <v>1667.32</v>
      </c>
      <c r="H6">
        <v>99.91</v>
      </c>
      <c r="I6" s="20">
        <f t="shared" si="1"/>
        <v>0.16673199999999999</v>
      </c>
      <c r="J6" s="15">
        <f t="shared" si="2"/>
        <v>8.8357363913345921E-2</v>
      </c>
    </row>
    <row r="7" spans="1:10" x14ac:dyDescent="0.2">
      <c r="A7" t="s">
        <v>259</v>
      </c>
      <c r="B7" t="s">
        <v>48</v>
      </c>
      <c r="C7">
        <v>320</v>
      </c>
      <c r="D7">
        <v>20</v>
      </c>
      <c r="E7">
        <f t="shared" si="0"/>
        <v>3.2000000000000001E-2</v>
      </c>
      <c r="F7" t="s">
        <v>110</v>
      </c>
      <c r="G7">
        <v>275.38</v>
      </c>
      <c r="H7">
        <v>50.46</v>
      </c>
      <c r="I7" s="20">
        <f t="shared" si="1"/>
        <v>2.7538E-2</v>
      </c>
      <c r="J7" s="15">
        <f t="shared" si="2"/>
        <v>-0.16203064855835581</v>
      </c>
    </row>
    <row r="8" spans="1:10" x14ac:dyDescent="0.2">
      <c r="A8" t="s">
        <v>259</v>
      </c>
      <c r="B8" t="s">
        <v>48</v>
      </c>
      <c r="C8">
        <v>320</v>
      </c>
      <c r="D8">
        <v>20</v>
      </c>
      <c r="E8">
        <f t="shared" si="0"/>
        <v>3.2000000000000001E-2</v>
      </c>
      <c r="F8" t="s">
        <v>111</v>
      </c>
      <c r="G8">
        <v>301.04000000000002</v>
      </c>
      <c r="H8">
        <v>51.02</v>
      </c>
      <c r="I8" s="20">
        <f t="shared" si="1"/>
        <v>3.0104000000000002E-2</v>
      </c>
      <c r="J8" s="15">
        <f t="shared" si="2"/>
        <v>-6.2981663566303414E-2</v>
      </c>
    </row>
    <row r="9" spans="1:10" x14ac:dyDescent="0.2">
      <c r="A9" t="s">
        <v>259</v>
      </c>
      <c r="B9" t="s">
        <v>48</v>
      </c>
      <c r="C9">
        <v>320</v>
      </c>
      <c r="D9">
        <v>20</v>
      </c>
      <c r="E9">
        <f t="shared" si="0"/>
        <v>3.2000000000000001E-2</v>
      </c>
      <c r="F9" t="s">
        <v>112</v>
      </c>
      <c r="G9">
        <v>245.55</v>
      </c>
      <c r="H9">
        <v>47.54</v>
      </c>
      <c r="I9" s="20">
        <f t="shared" si="1"/>
        <v>2.4555E-2</v>
      </c>
      <c r="J9" s="15">
        <f t="shared" si="2"/>
        <v>-0.30319690490735085</v>
      </c>
    </row>
    <row r="10" spans="1:10" x14ac:dyDescent="0.2">
      <c r="A10" t="s">
        <v>113</v>
      </c>
      <c r="B10" t="s">
        <v>48</v>
      </c>
      <c r="C10">
        <v>770</v>
      </c>
      <c r="D10">
        <v>20</v>
      </c>
      <c r="E10">
        <f t="shared" si="0"/>
        <v>7.6999999999999999E-2</v>
      </c>
      <c r="F10" t="s">
        <v>113</v>
      </c>
      <c r="G10">
        <v>667.11</v>
      </c>
      <c r="H10">
        <v>63.45</v>
      </c>
      <c r="I10" s="20">
        <f t="shared" si="1"/>
        <v>6.6711000000000006E-2</v>
      </c>
      <c r="J10" s="15">
        <f t="shared" si="2"/>
        <v>-0.15423243543043874</v>
      </c>
    </row>
    <row r="11" spans="1:10" x14ac:dyDescent="0.2">
      <c r="A11" t="s">
        <v>113</v>
      </c>
      <c r="B11" t="s">
        <v>48</v>
      </c>
      <c r="C11">
        <v>770</v>
      </c>
      <c r="D11">
        <v>20</v>
      </c>
      <c r="E11">
        <f t="shared" si="0"/>
        <v>7.6999999999999999E-2</v>
      </c>
      <c r="F11" t="s">
        <v>114</v>
      </c>
      <c r="G11">
        <v>705.1</v>
      </c>
      <c r="H11">
        <v>63.78</v>
      </c>
      <c r="I11" s="20">
        <f t="shared" si="1"/>
        <v>7.0510000000000003E-2</v>
      </c>
      <c r="J11" s="15">
        <f t="shared" si="2"/>
        <v>-9.2043681747269845E-2</v>
      </c>
    </row>
    <row r="12" spans="1:10" x14ac:dyDescent="0.2">
      <c r="A12" t="s">
        <v>113</v>
      </c>
      <c r="B12" t="s">
        <v>48</v>
      </c>
      <c r="C12">
        <v>770</v>
      </c>
      <c r="D12">
        <v>20</v>
      </c>
      <c r="E12">
        <f t="shared" si="0"/>
        <v>7.6999999999999999E-2</v>
      </c>
      <c r="F12" t="s">
        <v>115</v>
      </c>
      <c r="G12">
        <v>596.35</v>
      </c>
      <c r="H12">
        <v>65.05</v>
      </c>
      <c r="I12" s="20">
        <f t="shared" si="1"/>
        <v>5.9635000000000001E-2</v>
      </c>
      <c r="J12" s="15">
        <f t="shared" si="2"/>
        <v>-0.29118806070260761</v>
      </c>
    </row>
    <row r="13" spans="1:10" x14ac:dyDescent="0.2">
      <c r="A13" t="s">
        <v>256</v>
      </c>
      <c r="B13" t="s">
        <v>188</v>
      </c>
      <c r="C13">
        <v>37.6</v>
      </c>
      <c r="D13">
        <v>0.1</v>
      </c>
      <c r="E13">
        <f t="shared" ref="E13:E18" si="3">C13*0.7745</f>
        <v>29.121199999999998</v>
      </c>
      <c r="F13" t="s">
        <v>116</v>
      </c>
      <c r="G13">
        <v>328257.28000000003</v>
      </c>
      <c r="H13">
        <v>2586.09</v>
      </c>
      <c r="I13" s="20">
        <f t="shared" si="1"/>
        <v>32.825728000000005</v>
      </c>
      <c r="J13" s="15">
        <f t="shared" si="2"/>
        <v>0.11285440493505605</v>
      </c>
    </row>
    <row r="14" spans="1:10" x14ac:dyDescent="0.2">
      <c r="A14" t="s">
        <v>256</v>
      </c>
      <c r="B14" t="s">
        <v>188</v>
      </c>
      <c r="C14">
        <v>37.6</v>
      </c>
      <c r="D14">
        <v>0.1</v>
      </c>
      <c r="E14">
        <f t="shared" si="3"/>
        <v>29.121199999999998</v>
      </c>
      <c r="F14" t="s">
        <v>117</v>
      </c>
      <c r="G14">
        <v>325479.96999999997</v>
      </c>
      <c r="H14">
        <v>2552.14</v>
      </c>
      <c r="I14" s="20">
        <f t="shared" si="1"/>
        <v>32.547996999999995</v>
      </c>
      <c r="J14" s="15">
        <f t="shared" si="2"/>
        <v>0.10528442042070973</v>
      </c>
    </row>
    <row r="15" spans="1:10" x14ac:dyDescent="0.2">
      <c r="A15" t="s">
        <v>256</v>
      </c>
      <c r="B15" t="s">
        <v>188</v>
      </c>
      <c r="C15">
        <v>37.6</v>
      </c>
      <c r="D15">
        <v>0.1</v>
      </c>
      <c r="E15">
        <f t="shared" si="3"/>
        <v>29.121199999999998</v>
      </c>
      <c r="F15" t="s">
        <v>118</v>
      </c>
      <c r="G15">
        <v>301395.21999999997</v>
      </c>
      <c r="H15">
        <v>2321.13</v>
      </c>
      <c r="I15" s="20">
        <f t="shared" si="1"/>
        <v>30.139521999999996</v>
      </c>
      <c r="J15" s="15">
        <f t="shared" si="2"/>
        <v>3.3786932652747348E-2</v>
      </c>
    </row>
    <row r="16" spans="1:10" x14ac:dyDescent="0.2">
      <c r="A16" t="s">
        <v>255</v>
      </c>
      <c r="B16" t="s">
        <v>188</v>
      </c>
      <c r="C16">
        <v>0.15</v>
      </c>
      <c r="D16">
        <v>1E-3</v>
      </c>
      <c r="E16">
        <f t="shared" si="3"/>
        <v>0.11617499999999999</v>
      </c>
      <c r="F16" t="s">
        <v>119</v>
      </c>
      <c r="G16">
        <v>1124.75</v>
      </c>
      <c r="H16">
        <v>82.87</v>
      </c>
      <c r="I16" s="20">
        <f t="shared" si="1"/>
        <v>0.11247500000000001</v>
      </c>
      <c r="J16" s="15">
        <f t="shared" si="2"/>
        <v>-3.2896199155367789E-2</v>
      </c>
    </row>
    <row r="17" spans="1:10" x14ac:dyDescent="0.2">
      <c r="A17" t="s">
        <v>255</v>
      </c>
      <c r="B17" t="s">
        <v>188</v>
      </c>
      <c r="C17">
        <v>0.15</v>
      </c>
      <c r="D17">
        <v>1E-3</v>
      </c>
      <c r="E17">
        <f t="shared" si="3"/>
        <v>0.11617499999999999</v>
      </c>
      <c r="F17" t="s">
        <v>120</v>
      </c>
      <c r="G17">
        <v>1047.26</v>
      </c>
      <c r="H17">
        <v>79.67</v>
      </c>
      <c r="I17" s="20">
        <f t="shared" si="1"/>
        <v>0.104726</v>
      </c>
      <c r="J17" s="15">
        <f t="shared" si="2"/>
        <v>-0.10932337719382001</v>
      </c>
    </row>
    <row r="18" spans="1:10" x14ac:dyDescent="0.2">
      <c r="A18" t="s">
        <v>255</v>
      </c>
      <c r="B18" t="s">
        <v>188</v>
      </c>
      <c r="C18">
        <v>0.15</v>
      </c>
      <c r="D18">
        <v>1E-3</v>
      </c>
      <c r="E18">
        <f t="shared" si="3"/>
        <v>0.11617499999999999</v>
      </c>
      <c r="F18" t="s">
        <v>121</v>
      </c>
      <c r="G18">
        <v>1038.3699999999999</v>
      </c>
      <c r="H18">
        <v>82.22</v>
      </c>
      <c r="I18" s="20">
        <f t="shared" si="1"/>
        <v>0.10383699999999998</v>
      </c>
      <c r="J18" s="15">
        <f t="shared" si="2"/>
        <v>-0.11882084420774874</v>
      </c>
    </row>
    <row r="19" spans="1:10" x14ac:dyDescent="0.2">
      <c r="A19" t="s">
        <v>254</v>
      </c>
      <c r="B19" t="s">
        <v>48</v>
      </c>
      <c r="C19">
        <v>880</v>
      </c>
      <c r="D19">
        <v>60</v>
      </c>
      <c r="E19">
        <f t="shared" ref="E19:E24" si="4">C19/10^4</f>
        <v>8.7999999999999995E-2</v>
      </c>
      <c r="F19" t="s">
        <v>122</v>
      </c>
      <c r="G19">
        <v>690.79</v>
      </c>
      <c r="H19">
        <v>61.32</v>
      </c>
      <c r="I19" s="20">
        <f t="shared" si="1"/>
        <v>6.9079000000000002E-2</v>
      </c>
      <c r="J19" s="15">
        <f t="shared" si="2"/>
        <v>-0.27390379131139708</v>
      </c>
    </row>
    <row r="20" spans="1:10" x14ac:dyDescent="0.2">
      <c r="A20" t="s">
        <v>254</v>
      </c>
      <c r="B20" t="s">
        <v>48</v>
      </c>
      <c r="C20">
        <v>880</v>
      </c>
      <c r="D20">
        <v>60</v>
      </c>
      <c r="E20">
        <f t="shared" si="4"/>
        <v>8.7999999999999995E-2</v>
      </c>
      <c r="F20" t="s">
        <v>123</v>
      </c>
      <c r="G20">
        <v>739.18</v>
      </c>
      <c r="H20">
        <v>67.64</v>
      </c>
      <c r="I20" s="20">
        <f t="shared" si="1"/>
        <v>7.3917999999999998E-2</v>
      </c>
      <c r="J20" s="15">
        <f t="shared" si="2"/>
        <v>-0.19050840120133117</v>
      </c>
    </row>
    <row r="21" spans="1:10" x14ac:dyDescent="0.2">
      <c r="A21" t="s">
        <v>254</v>
      </c>
      <c r="B21" t="s">
        <v>48</v>
      </c>
      <c r="C21">
        <v>880</v>
      </c>
      <c r="D21">
        <v>60</v>
      </c>
      <c r="E21">
        <f t="shared" si="4"/>
        <v>8.7999999999999995E-2</v>
      </c>
      <c r="F21" t="s">
        <v>124</v>
      </c>
      <c r="G21">
        <v>718.29</v>
      </c>
      <c r="H21">
        <v>67.03</v>
      </c>
      <c r="I21" s="20">
        <f t="shared" si="1"/>
        <v>7.182899999999999E-2</v>
      </c>
      <c r="J21" s="15">
        <f t="shared" si="2"/>
        <v>-0.22513191050968273</v>
      </c>
    </row>
    <row r="22" spans="1:10" x14ac:dyDescent="0.2">
      <c r="A22" t="s">
        <v>313</v>
      </c>
      <c r="B22" t="s">
        <v>48</v>
      </c>
      <c r="C22">
        <v>5220</v>
      </c>
      <c r="D22">
        <v>300</v>
      </c>
      <c r="E22">
        <f t="shared" si="4"/>
        <v>0.52200000000000002</v>
      </c>
      <c r="F22" t="s">
        <v>131</v>
      </c>
      <c r="G22">
        <v>4573.6400000000003</v>
      </c>
      <c r="H22">
        <v>125.85</v>
      </c>
      <c r="I22" s="20">
        <f t="shared" si="1"/>
        <v>0.45736400000000005</v>
      </c>
      <c r="J22" s="15">
        <f t="shared" si="2"/>
        <v>-0.14132288505435486</v>
      </c>
    </row>
    <row r="23" spans="1:10" x14ac:dyDescent="0.2">
      <c r="A23" t="s">
        <v>313</v>
      </c>
      <c r="B23" t="s">
        <v>48</v>
      </c>
      <c r="C23">
        <v>5220</v>
      </c>
      <c r="D23">
        <v>300</v>
      </c>
      <c r="E23">
        <f t="shared" si="4"/>
        <v>0.52200000000000002</v>
      </c>
      <c r="F23" t="s">
        <v>132</v>
      </c>
      <c r="G23">
        <v>4547.6499999999996</v>
      </c>
      <c r="H23">
        <v>124.8</v>
      </c>
      <c r="I23" s="20">
        <f t="shared" si="1"/>
        <v>0.45476499999999997</v>
      </c>
      <c r="J23" s="15">
        <f t="shared" si="2"/>
        <v>-0.14784559057975</v>
      </c>
    </row>
    <row r="24" spans="1:10" x14ac:dyDescent="0.2">
      <c r="A24" t="s">
        <v>313</v>
      </c>
      <c r="B24" t="s">
        <v>48</v>
      </c>
      <c r="C24">
        <v>5220</v>
      </c>
      <c r="D24">
        <v>300</v>
      </c>
      <c r="E24">
        <f t="shared" si="4"/>
        <v>0.52200000000000002</v>
      </c>
      <c r="F24" t="s">
        <v>133</v>
      </c>
      <c r="G24">
        <v>4617.68</v>
      </c>
      <c r="H24">
        <v>122.01</v>
      </c>
      <c r="I24" s="20">
        <f t="shared" si="1"/>
        <v>0.46176800000000001</v>
      </c>
      <c r="J24" s="15">
        <f t="shared" si="2"/>
        <v>-0.13043779560298674</v>
      </c>
    </row>
  </sheetData>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3:L30"/>
  <sheetViews>
    <sheetView topLeftCell="E1" workbookViewId="0">
      <selection activeCell="E4" sqref="E4"/>
    </sheetView>
  </sheetViews>
  <sheetFormatPr baseColWidth="10" defaultColWidth="8.83203125" defaultRowHeight="15" x14ac:dyDescent="0.2"/>
  <cols>
    <col min="5" max="5" width="12.83203125" bestFit="1" customWidth="1"/>
    <col min="6" max="8" width="11" customWidth="1"/>
    <col min="9" max="9" width="17.5" bestFit="1" customWidth="1"/>
  </cols>
  <sheetData>
    <row r="3" spans="1:10" x14ac:dyDescent="0.2">
      <c r="A3" t="s">
        <v>253</v>
      </c>
      <c r="B3" t="s">
        <v>141</v>
      </c>
      <c r="C3" t="s">
        <v>139</v>
      </c>
      <c r="D3" t="s">
        <v>140</v>
      </c>
      <c r="E3" t="s">
        <v>252</v>
      </c>
      <c r="F3" t="s">
        <v>258</v>
      </c>
      <c r="G3" t="s">
        <v>103</v>
      </c>
      <c r="H3" t="s">
        <v>272</v>
      </c>
      <c r="I3" t="s">
        <v>257</v>
      </c>
      <c r="J3" t="s">
        <v>261</v>
      </c>
    </row>
    <row r="4" spans="1:10" x14ac:dyDescent="0.2">
      <c r="A4" t="s">
        <v>254</v>
      </c>
      <c r="B4" t="s">
        <v>151</v>
      </c>
      <c r="C4">
        <v>65.8</v>
      </c>
      <c r="D4">
        <v>0.43</v>
      </c>
      <c r="E4">
        <f t="shared" ref="E4:E12" si="0">C4*0.4674</f>
        <v>30.754919999999998</v>
      </c>
      <c r="F4" t="s">
        <v>122</v>
      </c>
      <c r="I4" s="16">
        <v>33.058512999999998</v>
      </c>
      <c r="J4" s="15">
        <f>I4/E4-1</f>
        <v>7.4901609238456679E-2</v>
      </c>
    </row>
    <row r="5" spans="1:10" x14ac:dyDescent="0.2">
      <c r="A5" t="s">
        <v>254</v>
      </c>
      <c r="B5" t="s">
        <v>151</v>
      </c>
      <c r="C5">
        <v>65.8</v>
      </c>
      <c r="D5">
        <v>0.43</v>
      </c>
      <c r="E5">
        <f t="shared" si="0"/>
        <v>30.754919999999998</v>
      </c>
      <c r="F5" t="s">
        <v>123</v>
      </c>
      <c r="I5" s="16">
        <v>33.303628000000003</v>
      </c>
      <c r="J5" s="15">
        <f t="shared" ref="J5:J30" si="1">I5/E5-1</f>
        <v>8.2871553559560773E-2</v>
      </c>
    </row>
    <row r="6" spans="1:10" x14ac:dyDescent="0.2">
      <c r="A6" t="s">
        <v>254</v>
      </c>
      <c r="B6" t="s">
        <v>151</v>
      </c>
      <c r="C6">
        <v>65.8</v>
      </c>
      <c r="D6">
        <v>0.43</v>
      </c>
      <c r="E6">
        <f t="shared" si="0"/>
        <v>30.754919999999998</v>
      </c>
      <c r="F6" t="s">
        <v>124</v>
      </c>
      <c r="I6" s="16">
        <v>33.532284000000004</v>
      </c>
      <c r="J6" s="15">
        <f t="shared" si="1"/>
        <v>9.0306331474769186E-2</v>
      </c>
    </row>
    <row r="7" spans="1:10" x14ac:dyDescent="0.2">
      <c r="A7" t="s">
        <v>255</v>
      </c>
      <c r="B7" t="s">
        <v>151</v>
      </c>
      <c r="C7">
        <v>47.64</v>
      </c>
      <c r="D7">
        <v>8.6999999999999994E-2</v>
      </c>
      <c r="E7">
        <f t="shared" si="0"/>
        <v>22.266936000000001</v>
      </c>
      <c r="F7" t="s">
        <v>119</v>
      </c>
      <c r="I7" s="16">
        <v>23.801534</v>
      </c>
      <c r="J7" s="15">
        <f t="shared" si="1"/>
        <v>6.8918238234483509E-2</v>
      </c>
    </row>
    <row r="8" spans="1:10" x14ac:dyDescent="0.2">
      <c r="A8" t="s">
        <v>255</v>
      </c>
      <c r="B8" t="s">
        <v>151</v>
      </c>
      <c r="C8">
        <v>47.64</v>
      </c>
      <c r="D8">
        <v>8.6999999999999994E-2</v>
      </c>
      <c r="E8">
        <f t="shared" si="0"/>
        <v>22.266936000000001</v>
      </c>
      <c r="F8" t="s">
        <v>120</v>
      </c>
      <c r="I8" s="16">
        <v>23.783459000000001</v>
      </c>
      <c r="J8" s="15">
        <f t="shared" si="1"/>
        <v>6.810649655614931E-2</v>
      </c>
    </row>
    <row r="9" spans="1:10" x14ac:dyDescent="0.2">
      <c r="A9" t="s">
        <v>255</v>
      </c>
      <c r="B9" t="s">
        <v>151</v>
      </c>
      <c r="C9">
        <v>47.64</v>
      </c>
      <c r="D9">
        <v>8.6999999999999994E-2</v>
      </c>
      <c r="E9">
        <f t="shared" si="0"/>
        <v>22.266936000000001</v>
      </c>
      <c r="F9" t="s">
        <v>121</v>
      </c>
      <c r="I9" s="16">
        <v>23.913171999999999</v>
      </c>
      <c r="J9" s="15">
        <f t="shared" si="1"/>
        <v>7.3931860225403101E-2</v>
      </c>
    </row>
    <row r="10" spans="1:10" x14ac:dyDescent="0.2">
      <c r="A10" t="s">
        <v>256</v>
      </c>
      <c r="B10" t="s">
        <v>151</v>
      </c>
      <c r="C10">
        <v>13.9</v>
      </c>
      <c r="D10">
        <v>3.4000000000000002E-2</v>
      </c>
      <c r="E10">
        <f t="shared" si="0"/>
        <v>6.4968599999999999</v>
      </c>
      <c r="F10" t="s">
        <v>116</v>
      </c>
      <c r="I10" s="16">
        <v>6.7147880000000004</v>
      </c>
      <c r="J10" s="15">
        <f t="shared" si="1"/>
        <v>3.3543588749026521E-2</v>
      </c>
    </row>
    <row r="11" spans="1:10" x14ac:dyDescent="0.2">
      <c r="A11" t="s">
        <v>256</v>
      </c>
      <c r="B11" t="s">
        <v>151</v>
      </c>
      <c r="C11">
        <v>13.9</v>
      </c>
      <c r="D11">
        <v>3.4000000000000002E-2</v>
      </c>
      <c r="E11">
        <f t="shared" si="0"/>
        <v>6.4968599999999999</v>
      </c>
      <c r="F11" t="s">
        <v>117</v>
      </c>
      <c r="I11" s="16">
        <v>6.6583789999999992</v>
      </c>
      <c r="J11" s="15">
        <f t="shared" si="1"/>
        <v>2.4861086740363803E-2</v>
      </c>
    </row>
    <row r="12" spans="1:10" x14ac:dyDescent="0.2">
      <c r="A12" t="s">
        <v>256</v>
      </c>
      <c r="B12" t="s">
        <v>151</v>
      </c>
      <c r="C12">
        <v>13.9</v>
      </c>
      <c r="D12">
        <v>3.4000000000000002E-2</v>
      </c>
      <c r="E12">
        <f t="shared" si="0"/>
        <v>6.4968599999999999</v>
      </c>
      <c r="F12" t="s">
        <v>118</v>
      </c>
      <c r="I12" s="16">
        <v>6.2463749999999996</v>
      </c>
      <c r="J12" s="15">
        <f t="shared" si="1"/>
        <v>-3.8554778770052089E-2</v>
      </c>
    </row>
    <row r="13" spans="1:10" x14ac:dyDescent="0.2">
      <c r="A13" t="s">
        <v>259</v>
      </c>
      <c r="E13">
        <v>31.1</v>
      </c>
      <c r="F13" t="s">
        <v>110</v>
      </c>
      <c r="I13" s="16">
        <v>33.871450000000003</v>
      </c>
      <c r="J13" s="15">
        <f t="shared" si="1"/>
        <v>8.9114147909967967E-2</v>
      </c>
    </row>
    <row r="14" spans="1:10" x14ac:dyDescent="0.2">
      <c r="A14" t="s">
        <v>259</v>
      </c>
      <c r="E14">
        <v>31.1</v>
      </c>
      <c r="F14" t="s">
        <v>111</v>
      </c>
      <c r="I14" s="16">
        <v>34.048813000000003</v>
      </c>
      <c r="J14" s="15">
        <f t="shared" si="1"/>
        <v>9.4817138263665557E-2</v>
      </c>
    </row>
    <row r="15" spans="1:10" x14ac:dyDescent="0.2">
      <c r="A15" t="s">
        <v>259</v>
      </c>
      <c r="E15">
        <v>31.1</v>
      </c>
      <c r="F15" t="s">
        <v>112</v>
      </c>
      <c r="I15" s="16">
        <v>34.049087999999998</v>
      </c>
      <c r="J15" s="15">
        <f t="shared" si="1"/>
        <v>9.4825980707395452E-2</v>
      </c>
    </row>
    <row r="16" spans="1:10" x14ac:dyDescent="0.2">
      <c r="A16" t="s">
        <v>113</v>
      </c>
      <c r="E16">
        <v>27.7</v>
      </c>
      <c r="F16" t="s">
        <v>113</v>
      </c>
      <c r="I16" s="16">
        <v>29.398953000000002</v>
      </c>
      <c r="J16" s="15">
        <f t="shared" si="1"/>
        <v>6.1334043321299658E-2</v>
      </c>
    </row>
    <row r="17" spans="1:12" x14ac:dyDescent="0.2">
      <c r="A17" t="s">
        <v>113</v>
      </c>
      <c r="E17">
        <v>27.7</v>
      </c>
      <c r="F17" t="s">
        <v>114</v>
      </c>
      <c r="I17" s="16">
        <v>28.978881000000001</v>
      </c>
      <c r="J17" s="15">
        <f t="shared" si="1"/>
        <v>4.6168989169675267E-2</v>
      </c>
    </row>
    <row r="18" spans="1:12" x14ac:dyDescent="0.2">
      <c r="A18" t="s">
        <v>113</v>
      </c>
      <c r="E18">
        <v>27.7</v>
      </c>
      <c r="F18" t="s">
        <v>115</v>
      </c>
      <c r="I18" s="16">
        <v>29.160163000000001</v>
      </c>
      <c r="J18" s="15">
        <f t="shared" si="1"/>
        <v>5.2713465703971174E-2</v>
      </c>
    </row>
    <row r="19" spans="1:12" x14ac:dyDescent="0.2">
      <c r="A19" t="s">
        <v>260</v>
      </c>
      <c r="E19">
        <v>25.3</v>
      </c>
      <c r="F19" t="s">
        <v>106</v>
      </c>
      <c r="I19" s="16">
        <v>26.027298000000002</v>
      </c>
      <c r="J19" s="15">
        <f t="shared" si="1"/>
        <v>2.8746956521739087E-2</v>
      </c>
      <c r="K19">
        <v>89.224999999999994</v>
      </c>
      <c r="L19">
        <v>0.219</v>
      </c>
    </row>
    <row r="20" spans="1:12" x14ac:dyDescent="0.2">
      <c r="A20" t="s">
        <v>260</v>
      </c>
      <c r="E20">
        <v>25.3</v>
      </c>
      <c r="F20" t="s">
        <v>108</v>
      </c>
      <c r="I20" s="16">
        <v>26.136148000000002</v>
      </c>
      <c r="J20" s="15">
        <f t="shared" si="1"/>
        <v>3.3049328063241123E-2</v>
      </c>
      <c r="K20">
        <v>89.153999999999996</v>
      </c>
      <c r="L20">
        <v>0.23</v>
      </c>
    </row>
    <row r="21" spans="1:12" x14ac:dyDescent="0.2">
      <c r="A21" t="s">
        <v>260</v>
      </c>
      <c r="E21">
        <v>25.3</v>
      </c>
      <c r="F21" t="s">
        <v>109</v>
      </c>
      <c r="I21" s="16">
        <v>26.214475</v>
      </c>
      <c r="J21" s="15">
        <f t="shared" si="1"/>
        <v>3.6145256916995994E-2</v>
      </c>
      <c r="K21">
        <v>88.421000000000006</v>
      </c>
      <c r="L21">
        <v>0.216</v>
      </c>
    </row>
    <row r="22" spans="1:12" x14ac:dyDescent="0.2">
      <c r="A22" s="17" t="s">
        <v>268</v>
      </c>
      <c r="D22">
        <v>0.4</v>
      </c>
      <c r="E22">
        <v>30.3</v>
      </c>
      <c r="F22" t="s">
        <v>262</v>
      </c>
      <c r="I22">
        <v>28.115093999999999</v>
      </c>
      <c r="J22" s="15">
        <f t="shared" si="1"/>
        <v>-7.2109108910891173E-2</v>
      </c>
    </row>
    <row r="23" spans="1:12" x14ac:dyDescent="0.2">
      <c r="A23" s="17" t="s">
        <v>268</v>
      </c>
      <c r="D23">
        <v>0.4</v>
      </c>
      <c r="E23">
        <v>30.3</v>
      </c>
      <c r="F23" t="s">
        <v>263</v>
      </c>
      <c r="I23">
        <v>27.968921999999996</v>
      </c>
      <c r="J23" s="15">
        <f t="shared" si="1"/>
        <v>-7.693326732673289E-2</v>
      </c>
    </row>
    <row r="24" spans="1:12" x14ac:dyDescent="0.2">
      <c r="A24" s="17" t="s">
        <v>268</v>
      </c>
      <c r="D24">
        <v>0.4</v>
      </c>
      <c r="E24">
        <v>30.3</v>
      </c>
      <c r="F24" t="s">
        <v>264</v>
      </c>
      <c r="I24">
        <v>28.164571999999996</v>
      </c>
      <c r="J24" s="15">
        <f t="shared" si="1"/>
        <v>-7.0476171617161909E-2</v>
      </c>
    </row>
    <row r="25" spans="1:12" x14ac:dyDescent="0.2">
      <c r="A25" t="s">
        <v>327</v>
      </c>
      <c r="B25" t="s">
        <v>294</v>
      </c>
      <c r="C25">
        <v>72.2</v>
      </c>
      <c r="D25">
        <v>0.49</v>
      </c>
      <c r="E25">
        <f>C25*0.4674</f>
        <v>33.746279999999999</v>
      </c>
      <c r="F25" t="s">
        <v>131</v>
      </c>
      <c r="G25">
        <v>339358.97</v>
      </c>
      <c r="H25">
        <v>1884.89</v>
      </c>
      <c r="I25">
        <f t="shared" ref="I25:I30" si="2">G25/10^4</f>
        <v>33.935896999999997</v>
      </c>
      <c r="J25" s="15">
        <f t="shared" si="1"/>
        <v>5.6189008092151216E-3</v>
      </c>
    </row>
    <row r="26" spans="1:12" x14ac:dyDescent="0.2">
      <c r="A26" t="s">
        <v>327</v>
      </c>
      <c r="B26" t="s">
        <v>294</v>
      </c>
      <c r="C26">
        <v>72.2</v>
      </c>
      <c r="D26">
        <v>0.49</v>
      </c>
      <c r="E26">
        <f>C26*0.4674</f>
        <v>33.746279999999999</v>
      </c>
      <c r="F26" t="s">
        <v>132</v>
      </c>
      <c r="G26">
        <v>337098.81</v>
      </c>
      <c r="H26">
        <v>1861.95</v>
      </c>
      <c r="I26">
        <f t="shared" si="2"/>
        <v>33.709881000000003</v>
      </c>
      <c r="J26" s="15">
        <f t="shared" si="1"/>
        <v>-1.0786077754346701E-3</v>
      </c>
    </row>
    <row r="27" spans="1:12" x14ac:dyDescent="0.2">
      <c r="A27" t="s">
        <v>327</v>
      </c>
      <c r="B27" t="s">
        <v>294</v>
      </c>
      <c r="C27">
        <v>72.2</v>
      </c>
      <c r="D27">
        <v>0.49</v>
      </c>
      <c r="E27">
        <f>C27*0.4674</f>
        <v>33.746279999999999</v>
      </c>
      <c r="F27" t="s">
        <v>133</v>
      </c>
      <c r="G27">
        <v>338813.22</v>
      </c>
      <c r="H27">
        <v>1890.61</v>
      </c>
      <c r="I27">
        <f t="shared" si="2"/>
        <v>33.881321999999997</v>
      </c>
      <c r="J27" s="15">
        <f t="shared" si="1"/>
        <v>4.0016855191149503E-3</v>
      </c>
    </row>
    <row r="28" spans="1:12" x14ac:dyDescent="0.2">
      <c r="A28" t="s">
        <v>329</v>
      </c>
      <c r="F28" t="s">
        <v>134</v>
      </c>
      <c r="G28">
        <v>295730</v>
      </c>
      <c r="H28">
        <v>1769.55</v>
      </c>
      <c r="I28">
        <f t="shared" si="2"/>
        <v>29.573</v>
      </c>
      <c r="J28" s="15" t="e">
        <f t="shared" si="1"/>
        <v>#DIV/0!</v>
      </c>
    </row>
    <row r="29" spans="1:12" x14ac:dyDescent="0.2">
      <c r="A29" t="s">
        <v>329</v>
      </c>
      <c r="F29" t="s">
        <v>136</v>
      </c>
      <c r="G29">
        <v>296759.21999999997</v>
      </c>
      <c r="H29">
        <v>1786.94</v>
      </c>
      <c r="I29">
        <f t="shared" si="2"/>
        <v>29.675921999999996</v>
      </c>
      <c r="J29" s="15" t="e">
        <f t="shared" si="1"/>
        <v>#DIV/0!</v>
      </c>
    </row>
    <row r="30" spans="1:12" x14ac:dyDescent="0.2">
      <c r="A30" t="s">
        <v>329</v>
      </c>
      <c r="F30" t="s">
        <v>137</v>
      </c>
      <c r="G30">
        <v>299915.09000000003</v>
      </c>
      <c r="H30">
        <v>1874.51</v>
      </c>
      <c r="I30">
        <f t="shared" si="2"/>
        <v>29.991509000000004</v>
      </c>
      <c r="J30" s="15" t="e">
        <f t="shared" si="1"/>
        <v>#DIV/0!</v>
      </c>
    </row>
  </sheetData>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3:J30"/>
  <sheetViews>
    <sheetView topLeftCell="L1" workbookViewId="0">
      <selection activeCell="Q26" sqref="Q26"/>
    </sheetView>
  </sheetViews>
  <sheetFormatPr baseColWidth="10" defaultColWidth="8.83203125" defaultRowHeight="15" x14ac:dyDescent="0.2"/>
  <cols>
    <col min="5" max="5" width="12.83203125" bestFit="1" customWidth="1"/>
    <col min="6" max="8" width="11" customWidth="1"/>
    <col min="9" max="9" width="17.5" bestFit="1" customWidth="1"/>
  </cols>
  <sheetData>
    <row r="3" spans="1:10" x14ac:dyDescent="0.2">
      <c r="A3" t="s">
        <v>253</v>
      </c>
      <c r="B3" t="s">
        <v>141</v>
      </c>
      <c r="C3" t="s">
        <v>103</v>
      </c>
      <c r="D3" t="s">
        <v>140</v>
      </c>
      <c r="E3" t="s">
        <v>252</v>
      </c>
      <c r="F3" t="s">
        <v>258</v>
      </c>
      <c r="G3" t="s">
        <v>103</v>
      </c>
      <c r="H3" t="s">
        <v>272</v>
      </c>
      <c r="I3" t="s">
        <v>257</v>
      </c>
    </row>
    <row r="4" spans="1:10" x14ac:dyDescent="0.2">
      <c r="A4" t="s">
        <v>260</v>
      </c>
      <c r="C4">
        <v>11</v>
      </c>
      <c r="D4">
        <v>2</v>
      </c>
      <c r="E4">
        <f t="shared" ref="E4:E30" si="0">C4/10^4</f>
        <v>1.1000000000000001E-3</v>
      </c>
      <c r="F4" t="s">
        <v>106</v>
      </c>
      <c r="G4">
        <v>15.52</v>
      </c>
      <c r="H4">
        <v>5.24</v>
      </c>
      <c r="I4" s="20">
        <f>G4/10^4</f>
        <v>1.552E-3</v>
      </c>
      <c r="J4" s="15">
        <f>1-E4/I4</f>
        <v>0.29123711340206182</v>
      </c>
    </row>
    <row r="5" spans="1:10" x14ac:dyDescent="0.2">
      <c r="A5" t="s">
        <v>260</v>
      </c>
      <c r="C5">
        <v>11</v>
      </c>
      <c r="D5">
        <v>2</v>
      </c>
      <c r="E5">
        <f t="shared" si="0"/>
        <v>1.1000000000000001E-3</v>
      </c>
      <c r="F5" t="s">
        <v>108</v>
      </c>
      <c r="G5">
        <v>14.53</v>
      </c>
      <c r="H5">
        <v>4.5</v>
      </c>
      <c r="I5" s="20">
        <f t="shared" ref="I5:I30" si="1">G5/10^4</f>
        <v>1.4529999999999999E-3</v>
      </c>
      <c r="J5" s="15">
        <f t="shared" ref="J5:J30" si="2">1-E5/I5</f>
        <v>0.24294562973158973</v>
      </c>
    </row>
    <row r="6" spans="1:10" x14ac:dyDescent="0.2">
      <c r="A6" t="s">
        <v>260</v>
      </c>
      <c r="C6">
        <v>11</v>
      </c>
      <c r="D6">
        <v>2</v>
      </c>
      <c r="E6">
        <f t="shared" si="0"/>
        <v>1.1000000000000001E-3</v>
      </c>
      <c r="F6" t="s">
        <v>109</v>
      </c>
      <c r="G6">
        <v>10.14</v>
      </c>
      <c r="H6">
        <v>4.29</v>
      </c>
      <c r="I6" s="20">
        <f t="shared" si="1"/>
        <v>1.0140000000000001E-3</v>
      </c>
      <c r="J6" s="15">
        <f t="shared" si="2"/>
        <v>-8.4812623274161725E-2</v>
      </c>
    </row>
    <row r="7" spans="1:10" x14ac:dyDescent="0.2">
      <c r="A7" t="s">
        <v>259</v>
      </c>
      <c r="C7">
        <v>42</v>
      </c>
      <c r="D7">
        <v>3</v>
      </c>
      <c r="E7">
        <f t="shared" si="0"/>
        <v>4.1999999999999997E-3</v>
      </c>
      <c r="F7" t="s">
        <v>110</v>
      </c>
      <c r="G7">
        <v>41.2</v>
      </c>
      <c r="H7">
        <v>5.83</v>
      </c>
      <c r="I7" s="20">
        <f t="shared" si="1"/>
        <v>4.1200000000000004E-3</v>
      </c>
      <c r="J7" s="15">
        <f t="shared" si="2"/>
        <v>-1.9417475728155109E-2</v>
      </c>
    </row>
    <row r="8" spans="1:10" x14ac:dyDescent="0.2">
      <c r="A8" t="s">
        <v>259</v>
      </c>
      <c r="C8">
        <v>42</v>
      </c>
      <c r="D8">
        <v>3</v>
      </c>
      <c r="E8">
        <f t="shared" si="0"/>
        <v>4.1999999999999997E-3</v>
      </c>
      <c r="F8" t="s">
        <v>111</v>
      </c>
      <c r="G8">
        <v>42.26</v>
      </c>
      <c r="H8">
        <v>5.9</v>
      </c>
      <c r="I8" s="20">
        <f t="shared" si="1"/>
        <v>4.2259999999999997E-3</v>
      </c>
      <c r="J8" s="15">
        <f t="shared" si="2"/>
        <v>6.1523899668717297E-3</v>
      </c>
    </row>
    <row r="9" spans="1:10" x14ac:dyDescent="0.2">
      <c r="A9" t="s">
        <v>259</v>
      </c>
      <c r="C9">
        <v>42</v>
      </c>
      <c r="D9">
        <v>3</v>
      </c>
      <c r="E9">
        <f t="shared" si="0"/>
        <v>4.1999999999999997E-3</v>
      </c>
      <c r="F9" t="s">
        <v>112</v>
      </c>
      <c r="G9">
        <v>33.94</v>
      </c>
      <c r="H9">
        <v>5.33</v>
      </c>
      <c r="I9" s="20">
        <f t="shared" si="1"/>
        <v>3.3939999999999999E-3</v>
      </c>
      <c r="J9" s="15">
        <f t="shared" si="2"/>
        <v>-0.23747790218031817</v>
      </c>
    </row>
    <row r="10" spans="1:10" x14ac:dyDescent="0.2">
      <c r="A10" t="s">
        <v>113</v>
      </c>
      <c r="C10">
        <v>13</v>
      </c>
      <c r="D10">
        <v>1</v>
      </c>
      <c r="E10">
        <f t="shared" si="0"/>
        <v>1.2999999999999999E-3</v>
      </c>
      <c r="F10" t="s">
        <v>113</v>
      </c>
      <c r="G10">
        <v>16.170000000000002</v>
      </c>
      <c r="H10">
        <v>4.25</v>
      </c>
      <c r="I10" s="20">
        <f t="shared" si="1"/>
        <v>1.6170000000000002E-3</v>
      </c>
      <c r="J10" s="15">
        <f t="shared" si="2"/>
        <v>0.19604205318491041</v>
      </c>
    </row>
    <row r="11" spans="1:10" x14ac:dyDescent="0.2">
      <c r="A11" t="s">
        <v>113</v>
      </c>
      <c r="C11">
        <v>13</v>
      </c>
      <c r="D11">
        <v>1</v>
      </c>
      <c r="E11">
        <f t="shared" si="0"/>
        <v>1.2999999999999999E-3</v>
      </c>
      <c r="F11" t="s">
        <v>114</v>
      </c>
      <c r="G11">
        <v>14.12</v>
      </c>
      <c r="H11">
        <v>4.09</v>
      </c>
      <c r="I11" s="20">
        <f t="shared" si="1"/>
        <v>1.4119999999999998E-3</v>
      </c>
      <c r="J11" s="15">
        <f t="shared" si="2"/>
        <v>7.9320113314447549E-2</v>
      </c>
    </row>
    <row r="12" spans="1:10" x14ac:dyDescent="0.2">
      <c r="A12" t="s">
        <v>113</v>
      </c>
      <c r="C12">
        <v>13</v>
      </c>
      <c r="D12">
        <v>1</v>
      </c>
      <c r="E12">
        <f t="shared" si="0"/>
        <v>1.2999999999999999E-3</v>
      </c>
      <c r="F12" t="s">
        <v>115</v>
      </c>
      <c r="G12">
        <v>11.47</v>
      </c>
      <c r="H12">
        <v>4.1900000000000004</v>
      </c>
      <c r="I12" s="20">
        <f t="shared" si="1"/>
        <v>1.147E-3</v>
      </c>
      <c r="J12" s="15">
        <f t="shared" si="2"/>
        <v>-0.133391455972101</v>
      </c>
    </row>
    <row r="13" spans="1:10" x14ac:dyDescent="0.2">
      <c r="A13" t="s">
        <v>256</v>
      </c>
      <c r="C13">
        <v>560</v>
      </c>
      <c r="D13">
        <v>6</v>
      </c>
      <c r="E13">
        <f t="shared" si="0"/>
        <v>5.6000000000000001E-2</v>
      </c>
      <c r="F13" t="s">
        <v>116</v>
      </c>
      <c r="G13">
        <v>429.04</v>
      </c>
      <c r="H13">
        <v>29.42</v>
      </c>
      <c r="I13" s="20">
        <f t="shared" si="1"/>
        <v>4.2904000000000005E-2</v>
      </c>
      <c r="J13" s="15">
        <f t="shared" si="2"/>
        <v>-0.30523960469886235</v>
      </c>
    </row>
    <row r="14" spans="1:10" x14ac:dyDescent="0.2">
      <c r="A14" t="s">
        <v>256</v>
      </c>
      <c r="C14">
        <v>560</v>
      </c>
      <c r="D14">
        <v>6</v>
      </c>
      <c r="E14">
        <f t="shared" si="0"/>
        <v>5.6000000000000001E-2</v>
      </c>
      <c r="F14" t="s">
        <v>117</v>
      </c>
      <c r="G14">
        <v>425.39</v>
      </c>
      <c r="H14">
        <v>29.25</v>
      </c>
      <c r="I14" s="20">
        <f t="shared" si="1"/>
        <v>4.2539E-2</v>
      </c>
      <c r="J14" s="15">
        <f t="shared" si="2"/>
        <v>-0.31643903241731119</v>
      </c>
    </row>
    <row r="15" spans="1:10" x14ac:dyDescent="0.2">
      <c r="A15" t="s">
        <v>256</v>
      </c>
      <c r="C15">
        <v>560</v>
      </c>
      <c r="D15">
        <v>6</v>
      </c>
      <c r="E15">
        <f t="shared" si="0"/>
        <v>5.6000000000000001E-2</v>
      </c>
      <c r="F15" t="s">
        <v>118</v>
      </c>
      <c r="G15">
        <v>370.65</v>
      </c>
      <c r="H15">
        <v>26.31</v>
      </c>
      <c r="I15" s="20">
        <f t="shared" si="1"/>
        <v>3.7065000000000001E-2</v>
      </c>
      <c r="J15" s="15">
        <f t="shared" si="2"/>
        <v>-0.51085930122757328</v>
      </c>
    </row>
    <row r="16" spans="1:10" x14ac:dyDescent="0.2">
      <c r="A16" t="s">
        <v>255</v>
      </c>
      <c r="C16">
        <v>35</v>
      </c>
      <c r="D16">
        <v>0.3</v>
      </c>
      <c r="E16">
        <f t="shared" si="0"/>
        <v>3.5000000000000001E-3</v>
      </c>
      <c r="F16" t="s">
        <v>119</v>
      </c>
      <c r="G16">
        <v>33.229999999999997</v>
      </c>
      <c r="H16">
        <v>5.63</v>
      </c>
      <c r="I16" s="20">
        <f t="shared" si="1"/>
        <v>3.3229999999999996E-3</v>
      </c>
      <c r="J16" s="15">
        <f t="shared" si="2"/>
        <v>-5.3265121877821509E-2</v>
      </c>
    </row>
    <row r="17" spans="1:10" x14ac:dyDescent="0.2">
      <c r="A17" t="s">
        <v>255</v>
      </c>
      <c r="C17">
        <v>35</v>
      </c>
      <c r="D17">
        <v>0.3</v>
      </c>
      <c r="E17">
        <f t="shared" si="0"/>
        <v>3.5000000000000001E-3</v>
      </c>
      <c r="F17" t="s">
        <v>120</v>
      </c>
      <c r="G17">
        <v>38.1</v>
      </c>
      <c r="H17">
        <v>5.79</v>
      </c>
      <c r="I17" s="20">
        <f t="shared" si="1"/>
        <v>3.81E-3</v>
      </c>
      <c r="J17" s="15">
        <f t="shared" si="2"/>
        <v>8.13648293963255E-2</v>
      </c>
    </row>
    <row r="18" spans="1:10" x14ac:dyDescent="0.2">
      <c r="A18" t="s">
        <v>255</v>
      </c>
      <c r="C18">
        <v>35</v>
      </c>
      <c r="D18">
        <v>0.3</v>
      </c>
      <c r="E18">
        <f t="shared" si="0"/>
        <v>3.5000000000000001E-3</v>
      </c>
      <c r="F18" t="s">
        <v>121</v>
      </c>
      <c r="G18">
        <v>37.39</v>
      </c>
      <c r="H18">
        <v>5.97</v>
      </c>
      <c r="I18" s="20">
        <f t="shared" si="1"/>
        <v>3.7390000000000001E-3</v>
      </c>
      <c r="J18" s="15">
        <f t="shared" si="2"/>
        <v>6.3920834447713348E-2</v>
      </c>
    </row>
    <row r="19" spans="1:10" x14ac:dyDescent="0.2">
      <c r="A19" t="s">
        <v>254</v>
      </c>
      <c r="C19">
        <v>25</v>
      </c>
      <c r="D19">
        <v>2</v>
      </c>
      <c r="E19">
        <f t="shared" si="0"/>
        <v>2.5000000000000001E-3</v>
      </c>
      <c r="F19" t="s">
        <v>122</v>
      </c>
      <c r="G19">
        <v>24.19</v>
      </c>
      <c r="H19">
        <v>4.5</v>
      </c>
      <c r="I19" s="20">
        <f t="shared" si="1"/>
        <v>2.4190000000000001E-3</v>
      </c>
      <c r="J19" s="15">
        <f t="shared" si="2"/>
        <v>-3.34849111202975E-2</v>
      </c>
    </row>
    <row r="20" spans="1:10" x14ac:dyDescent="0.2">
      <c r="A20" t="s">
        <v>254</v>
      </c>
      <c r="C20">
        <v>25</v>
      </c>
      <c r="D20">
        <v>2</v>
      </c>
      <c r="E20">
        <f t="shared" si="0"/>
        <v>2.5000000000000001E-3</v>
      </c>
      <c r="F20" t="s">
        <v>123</v>
      </c>
      <c r="G20">
        <v>25.24</v>
      </c>
      <c r="H20">
        <v>4.95</v>
      </c>
      <c r="I20" s="20">
        <f t="shared" si="1"/>
        <v>2.5239999999999998E-3</v>
      </c>
      <c r="J20" s="15">
        <f t="shared" si="2"/>
        <v>9.5087163232961958E-3</v>
      </c>
    </row>
    <row r="21" spans="1:10" x14ac:dyDescent="0.2">
      <c r="A21" t="s">
        <v>254</v>
      </c>
      <c r="C21">
        <v>25</v>
      </c>
      <c r="D21">
        <v>2</v>
      </c>
      <c r="E21">
        <f t="shared" si="0"/>
        <v>2.5000000000000001E-3</v>
      </c>
      <c r="F21" t="s">
        <v>124</v>
      </c>
      <c r="G21">
        <v>19.54</v>
      </c>
      <c r="H21">
        <v>4.59</v>
      </c>
      <c r="I21" s="20">
        <f t="shared" si="1"/>
        <v>1.954E-3</v>
      </c>
      <c r="J21" s="15">
        <f t="shared" si="2"/>
        <v>-0.27942681678607983</v>
      </c>
    </row>
    <row r="22" spans="1:10" x14ac:dyDescent="0.2">
      <c r="A22" t="s">
        <v>327</v>
      </c>
      <c r="B22" t="s">
        <v>26</v>
      </c>
      <c r="C22">
        <v>982</v>
      </c>
      <c r="D22">
        <v>78</v>
      </c>
      <c r="E22">
        <f t="shared" si="0"/>
        <v>9.8199999999999996E-2</v>
      </c>
      <c r="F22" t="s">
        <v>131</v>
      </c>
      <c r="G22">
        <v>1178.1500000000001</v>
      </c>
      <c r="H22">
        <v>26.08</v>
      </c>
      <c r="I22" s="20">
        <f t="shared" si="1"/>
        <v>0.117815</v>
      </c>
      <c r="J22" s="15">
        <f t="shared" si="2"/>
        <v>0.16648983575945342</v>
      </c>
    </row>
    <row r="23" spans="1:10" x14ac:dyDescent="0.2">
      <c r="A23" t="s">
        <v>327</v>
      </c>
      <c r="B23" t="s">
        <v>26</v>
      </c>
      <c r="C23">
        <v>982</v>
      </c>
      <c r="D23">
        <v>78</v>
      </c>
      <c r="E23">
        <f t="shared" si="0"/>
        <v>9.8199999999999996E-2</v>
      </c>
      <c r="F23" t="s">
        <v>132</v>
      </c>
      <c r="G23">
        <v>1141.2</v>
      </c>
      <c r="H23">
        <v>25.52</v>
      </c>
      <c r="I23" s="20">
        <f t="shared" si="1"/>
        <v>0.11412</v>
      </c>
      <c r="J23" s="15">
        <f t="shared" si="2"/>
        <v>0.13950227830354012</v>
      </c>
    </row>
    <row r="24" spans="1:10" x14ac:dyDescent="0.2">
      <c r="A24" t="s">
        <v>327</v>
      </c>
      <c r="B24" t="s">
        <v>26</v>
      </c>
      <c r="C24">
        <v>982</v>
      </c>
      <c r="D24">
        <v>78</v>
      </c>
      <c r="E24">
        <f t="shared" si="0"/>
        <v>9.8199999999999996E-2</v>
      </c>
      <c r="F24" t="s">
        <v>133</v>
      </c>
      <c r="G24">
        <v>1092.1400000000001</v>
      </c>
      <c r="H24">
        <v>24.23</v>
      </c>
      <c r="I24" s="20">
        <f t="shared" si="1"/>
        <v>0.10921400000000001</v>
      </c>
      <c r="J24" s="15">
        <f t="shared" si="2"/>
        <v>0.10084787664585138</v>
      </c>
    </row>
    <row r="25" spans="1:10" x14ac:dyDescent="0.2">
      <c r="A25" t="s">
        <v>329</v>
      </c>
      <c r="B25" t="s">
        <v>26</v>
      </c>
      <c r="C25">
        <v>50</v>
      </c>
      <c r="E25">
        <f t="shared" si="0"/>
        <v>5.0000000000000001E-3</v>
      </c>
      <c r="F25" t="s">
        <v>134</v>
      </c>
      <c r="G25">
        <v>48.99</v>
      </c>
      <c r="H25">
        <v>5.87</v>
      </c>
      <c r="I25" s="20">
        <f t="shared" si="1"/>
        <v>4.8990000000000006E-3</v>
      </c>
      <c r="J25" s="15">
        <f t="shared" si="2"/>
        <v>-2.0616452337211655E-2</v>
      </c>
    </row>
    <row r="26" spans="1:10" x14ac:dyDescent="0.2">
      <c r="A26" t="s">
        <v>329</v>
      </c>
      <c r="B26" t="s">
        <v>26</v>
      </c>
      <c r="C26">
        <v>50</v>
      </c>
      <c r="E26">
        <f t="shared" si="0"/>
        <v>5.0000000000000001E-3</v>
      </c>
      <c r="F26" t="s">
        <v>136</v>
      </c>
      <c r="G26">
        <v>45.67</v>
      </c>
      <c r="H26">
        <v>5.81</v>
      </c>
      <c r="I26" s="20">
        <f t="shared" si="1"/>
        <v>4.5669999999999999E-3</v>
      </c>
      <c r="J26" s="15">
        <f t="shared" si="2"/>
        <v>-9.4810597766586513E-2</v>
      </c>
    </row>
    <row r="27" spans="1:10" x14ac:dyDescent="0.2">
      <c r="A27" t="s">
        <v>329</v>
      </c>
      <c r="B27" t="s">
        <v>26</v>
      </c>
      <c r="C27">
        <v>50</v>
      </c>
      <c r="E27">
        <f t="shared" si="0"/>
        <v>5.0000000000000001E-3</v>
      </c>
      <c r="F27" t="s">
        <v>137</v>
      </c>
      <c r="G27">
        <v>53.02</v>
      </c>
      <c r="H27">
        <v>6.39</v>
      </c>
      <c r="I27" s="20">
        <f t="shared" si="1"/>
        <v>5.3020000000000003E-3</v>
      </c>
      <c r="J27" s="15">
        <f t="shared" si="2"/>
        <v>5.6959637872501023E-2</v>
      </c>
    </row>
    <row r="28" spans="1:10" x14ac:dyDescent="0.2">
      <c r="A28" t="s">
        <v>210</v>
      </c>
      <c r="B28" t="s">
        <v>26</v>
      </c>
      <c r="C28">
        <v>17.3</v>
      </c>
      <c r="D28">
        <v>0.1</v>
      </c>
      <c r="E28">
        <f t="shared" si="0"/>
        <v>1.73E-3</v>
      </c>
      <c r="F28" t="s">
        <v>262</v>
      </c>
      <c r="G28">
        <v>13.11</v>
      </c>
      <c r="H28">
        <v>3.8</v>
      </c>
      <c r="I28" s="20">
        <f t="shared" si="1"/>
        <v>1.3109999999999999E-3</v>
      </c>
      <c r="J28" s="15">
        <f t="shared" si="2"/>
        <v>-0.31960335621662872</v>
      </c>
    </row>
    <row r="29" spans="1:10" x14ac:dyDescent="0.2">
      <c r="A29" t="s">
        <v>210</v>
      </c>
      <c r="B29" t="s">
        <v>26</v>
      </c>
      <c r="C29">
        <v>17.3</v>
      </c>
      <c r="D29">
        <v>0.1</v>
      </c>
      <c r="E29">
        <f t="shared" si="0"/>
        <v>1.73E-3</v>
      </c>
      <c r="F29" t="s">
        <v>263</v>
      </c>
      <c r="G29">
        <v>17.88</v>
      </c>
      <c r="H29">
        <v>4.32</v>
      </c>
      <c r="I29" s="20">
        <f t="shared" si="1"/>
        <v>1.7879999999999999E-3</v>
      </c>
      <c r="J29" s="15">
        <f t="shared" si="2"/>
        <v>3.2438478747203514E-2</v>
      </c>
    </row>
    <row r="30" spans="1:10" x14ac:dyDescent="0.2">
      <c r="A30" t="s">
        <v>210</v>
      </c>
      <c r="B30" t="s">
        <v>26</v>
      </c>
      <c r="C30">
        <v>17.3</v>
      </c>
      <c r="D30">
        <v>0.1</v>
      </c>
      <c r="E30">
        <f t="shared" si="0"/>
        <v>1.73E-3</v>
      </c>
      <c r="F30" t="s">
        <v>264</v>
      </c>
      <c r="G30">
        <v>14.34</v>
      </c>
      <c r="H30">
        <v>3.85</v>
      </c>
      <c r="I30" s="20">
        <f t="shared" si="1"/>
        <v>1.4339999999999999E-3</v>
      </c>
      <c r="J30" s="15">
        <f t="shared" si="2"/>
        <v>-0.20641562064156216</v>
      </c>
    </row>
  </sheetData>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3:J21"/>
  <sheetViews>
    <sheetView topLeftCell="M1" workbookViewId="0">
      <selection activeCell="E20" sqref="E20:E21"/>
    </sheetView>
  </sheetViews>
  <sheetFormatPr baseColWidth="10" defaultColWidth="8.83203125" defaultRowHeight="15" x14ac:dyDescent="0.2"/>
  <cols>
    <col min="5" max="5" width="12.83203125" bestFit="1" customWidth="1"/>
    <col min="6" max="8" width="11" customWidth="1"/>
    <col min="9" max="9" width="17.5" bestFit="1" customWidth="1"/>
  </cols>
  <sheetData>
    <row r="3" spans="1:10" x14ac:dyDescent="0.2">
      <c r="A3" t="s">
        <v>253</v>
      </c>
      <c r="B3" t="s">
        <v>141</v>
      </c>
      <c r="C3" t="s">
        <v>103</v>
      </c>
      <c r="D3" t="s">
        <v>140</v>
      </c>
      <c r="E3" t="s">
        <v>252</v>
      </c>
      <c r="F3" t="s">
        <v>258</v>
      </c>
      <c r="G3" t="s">
        <v>103</v>
      </c>
      <c r="H3" t="s">
        <v>272</v>
      </c>
      <c r="I3" t="s">
        <v>257</v>
      </c>
    </row>
    <row r="4" spans="1:10" x14ac:dyDescent="0.2">
      <c r="A4" t="s">
        <v>260</v>
      </c>
      <c r="F4" t="s">
        <v>106</v>
      </c>
      <c r="H4">
        <v>5.64</v>
      </c>
      <c r="I4" s="20"/>
      <c r="J4" s="15"/>
    </row>
    <row r="5" spans="1:10" x14ac:dyDescent="0.2">
      <c r="A5" t="s">
        <v>260</v>
      </c>
      <c r="F5" t="s">
        <v>108</v>
      </c>
      <c r="H5">
        <v>5.2</v>
      </c>
      <c r="I5" s="20"/>
      <c r="J5" s="15"/>
    </row>
    <row r="6" spans="1:10" x14ac:dyDescent="0.2">
      <c r="A6" t="s">
        <v>260</v>
      </c>
      <c r="F6" t="s">
        <v>109</v>
      </c>
      <c r="H6">
        <v>5.17</v>
      </c>
      <c r="I6" s="20"/>
      <c r="J6" s="15"/>
    </row>
    <row r="7" spans="1:10" x14ac:dyDescent="0.2">
      <c r="A7" t="s">
        <v>259</v>
      </c>
      <c r="C7">
        <v>105</v>
      </c>
      <c r="D7">
        <v>8</v>
      </c>
      <c r="E7">
        <f t="shared" ref="E7:E21" si="0">C7/10^4</f>
        <v>1.0500000000000001E-2</v>
      </c>
      <c r="F7" t="s">
        <v>110</v>
      </c>
      <c r="G7">
        <v>104.96</v>
      </c>
      <c r="H7">
        <v>6.31</v>
      </c>
      <c r="I7" s="19">
        <f t="shared" ref="I7:I21" si="1">G7/10^4</f>
        <v>1.0496E-2</v>
      </c>
      <c r="J7" s="15">
        <f t="shared" ref="J7:J21" si="2">1-E7/I7</f>
        <v>-3.8109756097570724E-4</v>
      </c>
    </row>
    <row r="8" spans="1:10" x14ac:dyDescent="0.2">
      <c r="A8" t="s">
        <v>259</v>
      </c>
      <c r="C8">
        <v>105</v>
      </c>
      <c r="D8">
        <v>8</v>
      </c>
      <c r="E8">
        <f t="shared" si="0"/>
        <v>1.0500000000000001E-2</v>
      </c>
      <c r="F8" t="s">
        <v>111</v>
      </c>
      <c r="G8">
        <v>110.64</v>
      </c>
      <c r="H8">
        <v>6.45</v>
      </c>
      <c r="I8" s="19">
        <f t="shared" si="1"/>
        <v>1.1064000000000001E-2</v>
      </c>
      <c r="J8" s="15">
        <f t="shared" si="2"/>
        <v>5.0976138828633388E-2</v>
      </c>
    </row>
    <row r="9" spans="1:10" x14ac:dyDescent="0.2">
      <c r="A9" t="s">
        <v>259</v>
      </c>
      <c r="C9">
        <v>105</v>
      </c>
      <c r="D9">
        <v>8</v>
      </c>
      <c r="E9">
        <f t="shared" si="0"/>
        <v>1.0500000000000001E-2</v>
      </c>
      <c r="F9" t="s">
        <v>112</v>
      </c>
      <c r="G9">
        <v>117.66</v>
      </c>
      <c r="H9">
        <v>6.32</v>
      </c>
      <c r="I9" s="19">
        <f t="shared" si="1"/>
        <v>1.1766E-2</v>
      </c>
      <c r="J9" s="15">
        <f t="shared" si="2"/>
        <v>0.1075981642019378</v>
      </c>
    </row>
    <row r="10" spans="1:10" x14ac:dyDescent="0.2">
      <c r="A10" t="s">
        <v>113</v>
      </c>
      <c r="F10" t="s">
        <v>113</v>
      </c>
      <c r="H10">
        <v>4.2300000000000004</v>
      </c>
      <c r="I10" s="19"/>
      <c r="J10" s="15"/>
    </row>
    <row r="11" spans="1:10" x14ac:dyDescent="0.2">
      <c r="A11" t="s">
        <v>113</v>
      </c>
      <c r="F11" t="s">
        <v>114</v>
      </c>
      <c r="H11">
        <v>4.3499999999999996</v>
      </c>
      <c r="I11" s="19"/>
      <c r="J11" s="15"/>
    </row>
    <row r="12" spans="1:10" x14ac:dyDescent="0.2">
      <c r="A12" t="s">
        <v>113</v>
      </c>
      <c r="F12" t="s">
        <v>115</v>
      </c>
      <c r="H12">
        <v>4.68</v>
      </c>
      <c r="I12" s="19"/>
      <c r="J12" s="15"/>
    </row>
    <row r="13" spans="1:10" x14ac:dyDescent="0.2">
      <c r="A13" t="s">
        <v>256</v>
      </c>
      <c r="F13" t="s">
        <v>116</v>
      </c>
      <c r="H13">
        <v>300000</v>
      </c>
      <c r="I13" s="19"/>
      <c r="J13" s="15"/>
    </row>
    <row r="14" spans="1:10" x14ac:dyDescent="0.2">
      <c r="A14" t="s">
        <v>256</v>
      </c>
      <c r="F14" t="s">
        <v>117</v>
      </c>
      <c r="H14">
        <v>300000</v>
      </c>
      <c r="I14" s="19"/>
      <c r="J14" s="15"/>
    </row>
    <row r="15" spans="1:10" x14ac:dyDescent="0.2">
      <c r="A15" t="s">
        <v>256</v>
      </c>
      <c r="F15" t="s">
        <v>118</v>
      </c>
      <c r="H15">
        <v>300000</v>
      </c>
      <c r="I15" s="19"/>
      <c r="J15" s="15"/>
    </row>
    <row r="16" spans="1:10" x14ac:dyDescent="0.2">
      <c r="A16" t="s">
        <v>255</v>
      </c>
      <c r="C16">
        <v>15.8</v>
      </c>
      <c r="D16">
        <v>0.2</v>
      </c>
      <c r="E16">
        <f t="shared" si="0"/>
        <v>1.58E-3</v>
      </c>
      <c r="F16" t="s">
        <v>119</v>
      </c>
      <c r="G16">
        <v>10.75</v>
      </c>
      <c r="H16">
        <v>3.85</v>
      </c>
      <c r="I16" s="19">
        <f t="shared" si="1"/>
        <v>1.075E-3</v>
      </c>
      <c r="J16" s="15">
        <f t="shared" si="2"/>
        <v>-0.46976744186046515</v>
      </c>
    </row>
    <row r="17" spans="1:10" x14ac:dyDescent="0.2">
      <c r="A17" t="s">
        <v>255</v>
      </c>
      <c r="C17">
        <v>15.8</v>
      </c>
      <c r="D17">
        <v>0.2</v>
      </c>
      <c r="E17">
        <f t="shared" si="0"/>
        <v>1.58E-3</v>
      </c>
      <c r="F17" t="s">
        <v>120</v>
      </c>
      <c r="G17">
        <v>10.92</v>
      </c>
      <c r="H17">
        <v>3.81</v>
      </c>
      <c r="I17" s="19">
        <f t="shared" si="1"/>
        <v>1.0920000000000001E-3</v>
      </c>
      <c r="J17" s="15">
        <f t="shared" si="2"/>
        <v>-0.44688644688644685</v>
      </c>
    </row>
    <row r="18" spans="1:10" x14ac:dyDescent="0.2">
      <c r="A18" t="s">
        <v>255</v>
      </c>
      <c r="C18">
        <v>15.8</v>
      </c>
      <c r="D18">
        <v>0.2</v>
      </c>
      <c r="E18">
        <f t="shared" si="0"/>
        <v>1.58E-3</v>
      </c>
      <c r="F18" t="s">
        <v>121</v>
      </c>
      <c r="G18">
        <v>10.79</v>
      </c>
      <c r="H18">
        <v>3.94</v>
      </c>
      <c r="I18" s="19">
        <f t="shared" si="1"/>
        <v>1.0789999999999999E-3</v>
      </c>
      <c r="J18" s="15">
        <f t="shared" si="2"/>
        <v>-0.46431881371640427</v>
      </c>
    </row>
    <row r="19" spans="1:10" x14ac:dyDescent="0.2">
      <c r="A19" t="s">
        <v>254</v>
      </c>
      <c r="C19">
        <v>12</v>
      </c>
      <c r="D19">
        <v>0.9</v>
      </c>
      <c r="E19">
        <f t="shared" si="0"/>
        <v>1.1999999999999999E-3</v>
      </c>
      <c r="F19" t="s">
        <v>122</v>
      </c>
      <c r="G19">
        <v>9.31</v>
      </c>
      <c r="H19">
        <v>3.13</v>
      </c>
      <c r="I19" s="19">
        <f t="shared" si="1"/>
        <v>9.3100000000000008E-4</v>
      </c>
      <c r="J19" s="15">
        <f t="shared" si="2"/>
        <v>-0.28893662728249181</v>
      </c>
    </row>
    <row r="20" spans="1:10" x14ac:dyDescent="0.2">
      <c r="A20" t="s">
        <v>254</v>
      </c>
      <c r="C20">
        <v>12</v>
      </c>
      <c r="D20">
        <v>0.9</v>
      </c>
      <c r="E20">
        <f t="shared" si="0"/>
        <v>1.1999999999999999E-3</v>
      </c>
      <c r="F20" t="s">
        <v>123</v>
      </c>
      <c r="G20">
        <v>12.21</v>
      </c>
      <c r="H20">
        <v>3.53</v>
      </c>
      <c r="I20" s="19">
        <f t="shared" si="1"/>
        <v>1.2210000000000001E-3</v>
      </c>
      <c r="J20" s="15">
        <f t="shared" si="2"/>
        <v>1.7199017199017397E-2</v>
      </c>
    </row>
    <row r="21" spans="1:10" x14ac:dyDescent="0.2">
      <c r="A21" t="s">
        <v>254</v>
      </c>
      <c r="C21">
        <v>12</v>
      </c>
      <c r="D21">
        <v>0.9</v>
      </c>
      <c r="E21">
        <f t="shared" si="0"/>
        <v>1.1999999999999999E-3</v>
      </c>
      <c r="F21" t="s">
        <v>124</v>
      </c>
      <c r="G21">
        <v>8.4700000000000006</v>
      </c>
      <c r="H21">
        <v>3.33</v>
      </c>
      <c r="I21" s="19">
        <f t="shared" si="1"/>
        <v>8.470000000000001E-4</v>
      </c>
      <c r="J21" s="15">
        <f t="shared" si="2"/>
        <v>-0.41676505312868928</v>
      </c>
    </row>
  </sheetData>
  <pageMargins left="0.7" right="0.7" top="0.75" bottom="0.75" header="0.3" footer="0.3"/>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3:L30"/>
  <sheetViews>
    <sheetView topLeftCell="B31" workbookViewId="0">
      <selection activeCell="L5" sqref="L5"/>
    </sheetView>
  </sheetViews>
  <sheetFormatPr baseColWidth="10" defaultColWidth="8.83203125" defaultRowHeight="15" x14ac:dyDescent="0.2"/>
  <cols>
    <col min="5" max="5" width="12.83203125" bestFit="1" customWidth="1"/>
    <col min="6" max="6" width="12.83203125" customWidth="1"/>
    <col min="7" max="9" width="11" customWidth="1"/>
    <col min="10" max="10" width="17.5" bestFit="1" customWidth="1"/>
  </cols>
  <sheetData>
    <row r="3" spans="1:12" x14ac:dyDescent="0.2">
      <c r="A3" t="s">
        <v>253</v>
      </c>
      <c r="B3" t="s">
        <v>141</v>
      </c>
      <c r="C3" t="s">
        <v>139</v>
      </c>
      <c r="D3" t="s">
        <v>140</v>
      </c>
      <c r="E3" t="s">
        <v>252</v>
      </c>
      <c r="G3" t="s">
        <v>258</v>
      </c>
      <c r="H3" t="s">
        <v>103</v>
      </c>
      <c r="I3" t="s">
        <v>272</v>
      </c>
      <c r="J3" t="s">
        <v>257</v>
      </c>
      <c r="K3" t="s">
        <v>273</v>
      </c>
    </row>
    <row r="4" spans="1:12" x14ac:dyDescent="0.2">
      <c r="A4" t="s">
        <v>254</v>
      </c>
      <c r="B4" t="s">
        <v>152</v>
      </c>
      <c r="C4">
        <v>1.01</v>
      </c>
      <c r="D4">
        <v>0.04</v>
      </c>
      <c r="E4">
        <f>C4*0.5994</f>
        <v>0.6053940000000001</v>
      </c>
      <c r="F4">
        <f>E4*10^4</f>
        <v>6053.9400000000014</v>
      </c>
      <c r="G4" t="s">
        <v>122</v>
      </c>
      <c r="H4">
        <v>5836.91</v>
      </c>
      <c r="I4">
        <v>117.62</v>
      </c>
      <c r="J4" s="20">
        <f>H4/10^4</f>
        <v>0.58369099999999996</v>
      </c>
      <c r="K4" s="21">
        <f>1-E4/J4</f>
        <v>-3.7182344768036835E-2</v>
      </c>
      <c r="L4" s="21">
        <f>0.67/E4</f>
        <v>1.1067172783344399</v>
      </c>
    </row>
    <row r="5" spans="1:12" x14ac:dyDescent="0.2">
      <c r="A5" t="s">
        <v>254</v>
      </c>
      <c r="B5" t="s">
        <v>152</v>
      </c>
      <c r="C5">
        <v>1.01</v>
      </c>
      <c r="D5">
        <v>0.04</v>
      </c>
      <c r="E5">
        <f t="shared" ref="E5:E12" si="0">C5*0.5994</f>
        <v>0.6053940000000001</v>
      </c>
      <c r="F5">
        <f t="shared" ref="F5:F30" si="1">E5*10^4</f>
        <v>6053.9400000000014</v>
      </c>
      <c r="G5" t="s">
        <v>123</v>
      </c>
      <c r="H5">
        <v>5654.09</v>
      </c>
      <c r="I5">
        <v>117.41</v>
      </c>
      <c r="J5" s="20">
        <f t="shared" ref="J5:J30" si="2">H5/10^4</f>
        <v>0.56540900000000005</v>
      </c>
      <c r="K5" s="21">
        <f t="shared" ref="K5:K30" si="3">1-E5/J5</f>
        <v>-7.0718718662065916E-2</v>
      </c>
      <c r="L5" s="21"/>
    </row>
    <row r="6" spans="1:12" x14ac:dyDescent="0.2">
      <c r="A6" t="s">
        <v>254</v>
      </c>
      <c r="B6" t="s">
        <v>152</v>
      </c>
      <c r="C6">
        <v>1.01</v>
      </c>
      <c r="D6">
        <v>0.04</v>
      </c>
      <c r="E6">
        <f t="shared" si="0"/>
        <v>0.6053940000000001</v>
      </c>
      <c r="F6">
        <f t="shared" si="1"/>
        <v>6053.9400000000014</v>
      </c>
      <c r="G6" t="s">
        <v>124</v>
      </c>
      <c r="H6">
        <v>5916.42</v>
      </c>
      <c r="I6">
        <v>118.09</v>
      </c>
      <c r="J6" s="20">
        <f t="shared" si="2"/>
        <v>0.591642</v>
      </c>
      <c r="K6" s="21">
        <f t="shared" si="3"/>
        <v>-2.3243785938118044E-2</v>
      </c>
      <c r="L6" s="21"/>
    </row>
    <row r="7" spans="1:12" x14ac:dyDescent="0.2">
      <c r="A7" t="s">
        <v>255</v>
      </c>
      <c r="B7" t="s">
        <v>152</v>
      </c>
      <c r="C7">
        <v>0.85499999999999998</v>
      </c>
      <c r="D7">
        <v>3.0000000000000001E-3</v>
      </c>
      <c r="E7">
        <f t="shared" si="0"/>
        <v>0.51248700000000003</v>
      </c>
      <c r="F7">
        <f t="shared" si="1"/>
        <v>5124.87</v>
      </c>
      <c r="G7" t="s">
        <v>119</v>
      </c>
      <c r="H7">
        <v>5740.27</v>
      </c>
      <c r="I7">
        <v>143.58000000000001</v>
      </c>
      <c r="J7" s="20">
        <f t="shared" si="2"/>
        <v>0.57402700000000006</v>
      </c>
      <c r="K7" s="21">
        <f t="shared" si="3"/>
        <v>0.1072075006924762</v>
      </c>
      <c r="L7" s="21"/>
    </row>
    <row r="8" spans="1:12" x14ac:dyDescent="0.2">
      <c r="A8" t="s">
        <v>255</v>
      </c>
      <c r="B8" t="s">
        <v>152</v>
      </c>
      <c r="C8">
        <v>0.85499999999999998</v>
      </c>
      <c r="D8">
        <v>3.0000000000000001E-3</v>
      </c>
      <c r="E8">
        <f t="shared" si="0"/>
        <v>0.51248700000000003</v>
      </c>
      <c r="F8">
        <f t="shared" si="1"/>
        <v>5124.87</v>
      </c>
      <c r="G8" t="s">
        <v>120</v>
      </c>
      <c r="H8">
        <v>5583.17</v>
      </c>
      <c r="I8">
        <v>141.86000000000001</v>
      </c>
      <c r="J8" s="20">
        <f t="shared" si="2"/>
        <v>0.55831699999999995</v>
      </c>
      <c r="K8" s="21">
        <f t="shared" si="3"/>
        <v>8.2085983410857821E-2</v>
      </c>
      <c r="L8" s="21"/>
    </row>
    <row r="9" spans="1:12" x14ac:dyDescent="0.2">
      <c r="A9" t="s">
        <v>255</v>
      </c>
      <c r="B9" t="s">
        <v>152</v>
      </c>
      <c r="C9">
        <v>0.85499999999999998</v>
      </c>
      <c r="D9">
        <v>3.0000000000000001E-3</v>
      </c>
      <c r="E9">
        <f t="shared" si="0"/>
        <v>0.51248700000000003</v>
      </c>
      <c r="F9">
        <f t="shared" si="1"/>
        <v>5124.87</v>
      </c>
      <c r="G9" t="s">
        <v>121</v>
      </c>
      <c r="H9">
        <v>5642.94</v>
      </c>
      <c r="I9">
        <v>141.1</v>
      </c>
      <c r="J9" s="20">
        <f t="shared" si="2"/>
        <v>0.56429399999999996</v>
      </c>
      <c r="K9" s="21">
        <f t="shared" si="3"/>
        <v>9.1808525343172076E-2</v>
      </c>
      <c r="L9" s="21"/>
    </row>
    <row r="10" spans="1:12" x14ac:dyDescent="0.2">
      <c r="A10" t="s">
        <v>256</v>
      </c>
      <c r="B10" t="s">
        <v>152</v>
      </c>
      <c r="C10">
        <v>0.5</v>
      </c>
      <c r="D10">
        <v>3.0000000000000001E-3</v>
      </c>
      <c r="E10">
        <f t="shared" si="0"/>
        <v>0.29970000000000002</v>
      </c>
      <c r="F10">
        <f t="shared" si="1"/>
        <v>2997</v>
      </c>
      <c r="G10" t="s">
        <v>116</v>
      </c>
      <c r="H10">
        <v>3258.94</v>
      </c>
      <c r="I10">
        <v>263.08</v>
      </c>
      <c r="J10" s="20">
        <f t="shared" si="2"/>
        <v>0.32589400000000002</v>
      </c>
      <c r="K10" s="21">
        <f t="shared" si="3"/>
        <v>8.0375827723124682E-2</v>
      </c>
      <c r="L10" s="21"/>
    </row>
    <row r="11" spans="1:12" x14ac:dyDescent="0.2">
      <c r="A11" t="s">
        <v>256</v>
      </c>
      <c r="B11" t="s">
        <v>152</v>
      </c>
      <c r="C11">
        <v>0.5</v>
      </c>
      <c r="D11">
        <v>3.0000000000000001E-3</v>
      </c>
      <c r="E11">
        <f t="shared" si="0"/>
        <v>0.29970000000000002</v>
      </c>
      <c r="F11">
        <f t="shared" si="1"/>
        <v>2997</v>
      </c>
      <c r="G11" t="s">
        <v>117</v>
      </c>
      <c r="H11">
        <v>3599.17</v>
      </c>
      <c r="I11">
        <v>266.69</v>
      </c>
      <c r="J11" s="20">
        <f t="shared" si="2"/>
        <v>0.35991699999999999</v>
      </c>
      <c r="K11" s="21">
        <f t="shared" si="3"/>
        <v>0.16730801823753805</v>
      </c>
      <c r="L11" s="21"/>
    </row>
    <row r="12" spans="1:12" x14ac:dyDescent="0.2">
      <c r="A12" t="s">
        <v>256</v>
      </c>
      <c r="B12" t="s">
        <v>152</v>
      </c>
      <c r="C12">
        <v>0.5</v>
      </c>
      <c r="D12">
        <v>3.0000000000000001E-3</v>
      </c>
      <c r="E12">
        <f t="shared" si="0"/>
        <v>0.29970000000000002</v>
      </c>
      <c r="F12">
        <f t="shared" si="1"/>
        <v>2997</v>
      </c>
      <c r="G12" t="s">
        <v>118</v>
      </c>
      <c r="H12">
        <v>3534.12</v>
      </c>
      <c r="I12">
        <v>257.7</v>
      </c>
      <c r="J12" s="20">
        <f t="shared" si="2"/>
        <v>0.353412</v>
      </c>
      <c r="K12" s="21">
        <f t="shared" si="3"/>
        <v>0.15198125700315779</v>
      </c>
      <c r="L12" s="21"/>
    </row>
    <row r="13" spans="1:12" x14ac:dyDescent="0.2">
      <c r="A13" t="s">
        <v>259</v>
      </c>
      <c r="D13">
        <v>0.01</v>
      </c>
      <c r="E13">
        <v>0.4</v>
      </c>
      <c r="F13">
        <f t="shared" si="1"/>
        <v>4000</v>
      </c>
      <c r="G13" t="s">
        <v>110</v>
      </c>
      <c r="H13">
        <v>3526.71</v>
      </c>
      <c r="I13">
        <v>104.56</v>
      </c>
      <c r="J13" s="20">
        <f t="shared" si="2"/>
        <v>0.35267100000000001</v>
      </c>
      <c r="K13" s="21">
        <f t="shared" si="3"/>
        <v>-0.13420156463105837</v>
      </c>
      <c r="L13" s="21"/>
    </row>
    <row r="14" spans="1:12" x14ac:dyDescent="0.2">
      <c r="A14" t="s">
        <v>259</v>
      </c>
      <c r="D14">
        <v>0.01</v>
      </c>
      <c r="E14">
        <v>0.4</v>
      </c>
      <c r="F14">
        <f t="shared" si="1"/>
        <v>4000</v>
      </c>
      <c r="G14" t="s">
        <v>111</v>
      </c>
      <c r="H14">
        <v>3505.63</v>
      </c>
      <c r="I14">
        <v>106.25</v>
      </c>
      <c r="J14" s="20">
        <f t="shared" si="2"/>
        <v>0.35056300000000001</v>
      </c>
      <c r="K14" s="21">
        <f t="shared" si="3"/>
        <v>-0.14102172790625378</v>
      </c>
      <c r="L14" s="21"/>
    </row>
    <row r="15" spans="1:12" x14ac:dyDescent="0.2">
      <c r="A15" t="s">
        <v>259</v>
      </c>
      <c r="D15">
        <v>0.01</v>
      </c>
      <c r="E15">
        <v>0.4</v>
      </c>
      <c r="F15">
        <f t="shared" si="1"/>
        <v>4000</v>
      </c>
      <c r="G15" t="s">
        <v>112</v>
      </c>
      <c r="H15">
        <v>3518.19</v>
      </c>
      <c r="I15">
        <v>103.5</v>
      </c>
      <c r="J15" s="20">
        <f t="shared" si="2"/>
        <v>0.35181899999999999</v>
      </c>
      <c r="K15" s="21">
        <f t="shared" si="3"/>
        <v>-0.13694826032704333</v>
      </c>
      <c r="L15" s="21"/>
    </row>
    <row r="16" spans="1:12" x14ac:dyDescent="0.2">
      <c r="A16" t="s">
        <v>113</v>
      </c>
      <c r="D16">
        <v>0.13</v>
      </c>
      <c r="E16">
        <v>0.63</v>
      </c>
      <c r="F16">
        <f t="shared" si="1"/>
        <v>6300</v>
      </c>
      <c r="G16" t="s">
        <v>113</v>
      </c>
      <c r="H16">
        <v>5836.43</v>
      </c>
      <c r="I16">
        <v>124.72</v>
      </c>
      <c r="J16" s="20">
        <f t="shared" si="2"/>
        <v>0.58364300000000002</v>
      </c>
      <c r="K16" s="21">
        <f t="shared" si="3"/>
        <v>-7.9426978478282173E-2</v>
      </c>
      <c r="L16" s="21"/>
    </row>
    <row r="17" spans="1:12" x14ac:dyDescent="0.2">
      <c r="A17" t="s">
        <v>113</v>
      </c>
      <c r="D17">
        <v>0.13</v>
      </c>
      <c r="E17">
        <v>0.63</v>
      </c>
      <c r="F17">
        <f t="shared" si="1"/>
        <v>6300</v>
      </c>
      <c r="G17" t="s">
        <v>114</v>
      </c>
      <c r="H17">
        <v>5761.09</v>
      </c>
      <c r="I17">
        <v>126.32</v>
      </c>
      <c r="J17" s="20">
        <f t="shared" si="2"/>
        <v>0.57610899999999998</v>
      </c>
      <c r="K17" s="21">
        <f t="shared" si="3"/>
        <v>-9.3543062163583768E-2</v>
      </c>
      <c r="L17" s="21"/>
    </row>
    <row r="18" spans="1:12" x14ac:dyDescent="0.2">
      <c r="A18" t="s">
        <v>113</v>
      </c>
      <c r="D18">
        <v>0.13</v>
      </c>
      <c r="E18">
        <v>0.63</v>
      </c>
      <c r="F18">
        <f t="shared" si="1"/>
        <v>6300</v>
      </c>
      <c r="G18" t="s">
        <v>115</v>
      </c>
      <c r="H18">
        <v>5775.18</v>
      </c>
      <c r="I18">
        <v>124.57</v>
      </c>
      <c r="J18" s="20">
        <f t="shared" si="2"/>
        <v>0.57751799999999998</v>
      </c>
      <c r="K18" s="21">
        <f t="shared" si="3"/>
        <v>-9.0875089607596715E-2</v>
      </c>
      <c r="L18" s="21"/>
    </row>
    <row r="19" spans="1:12" x14ac:dyDescent="0.2">
      <c r="A19" t="s">
        <v>260</v>
      </c>
      <c r="D19">
        <v>0.03</v>
      </c>
      <c r="E19">
        <v>1.35</v>
      </c>
      <c r="F19">
        <f t="shared" si="1"/>
        <v>13500</v>
      </c>
      <c r="G19" t="s">
        <v>106</v>
      </c>
      <c r="H19">
        <v>12866.44</v>
      </c>
      <c r="I19">
        <v>220.21</v>
      </c>
      <c r="J19" s="20">
        <f t="shared" si="2"/>
        <v>1.2866440000000001</v>
      </c>
      <c r="K19" s="21">
        <f t="shared" si="3"/>
        <v>-4.9241281970770379E-2</v>
      </c>
      <c r="L19" s="27">
        <f>1.45/E19</f>
        <v>1.074074074074074</v>
      </c>
    </row>
    <row r="20" spans="1:12" x14ac:dyDescent="0.2">
      <c r="A20" t="s">
        <v>260</v>
      </c>
      <c r="D20">
        <v>0.03</v>
      </c>
      <c r="E20">
        <v>1.35</v>
      </c>
      <c r="F20">
        <f t="shared" si="1"/>
        <v>13500</v>
      </c>
      <c r="G20" t="s">
        <v>108</v>
      </c>
      <c r="H20">
        <v>12748.77</v>
      </c>
      <c r="I20">
        <v>218.07</v>
      </c>
      <c r="J20" s="20">
        <f t="shared" si="2"/>
        <v>1.274877</v>
      </c>
      <c r="K20" s="21">
        <f t="shared" si="3"/>
        <v>-5.8925684595455108E-2</v>
      </c>
      <c r="L20" s="21"/>
    </row>
    <row r="21" spans="1:12" x14ac:dyDescent="0.2">
      <c r="A21" t="s">
        <v>260</v>
      </c>
      <c r="D21">
        <v>0.03</v>
      </c>
      <c r="E21">
        <v>1.35</v>
      </c>
      <c r="F21">
        <f t="shared" si="1"/>
        <v>13500</v>
      </c>
      <c r="G21" t="s">
        <v>109</v>
      </c>
      <c r="H21">
        <v>12778.91</v>
      </c>
      <c r="I21">
        <v>223.5</v>
      </c>
      <c r="J21" s="20">
        <f t="shared" si="2"/>
        <v>1.2778909999999999</v>
      </c>
      <c r="K21" s="21">
        <f t="shared" si="3"/>
        <v>-5.6428130411748878E-2</v>
      </c>
      <c r="L21" s="21"/>
    </row>
    <row r="22" spans="1:12" x14ac:dyDescent="0.2">
      <c r="A22" t="s">
        <v>327</v>
      </c>
      <c r="B22" t="s">
        <v>298</v>
      </c>
      <c r="C22">
        <v>0.38</v>
      </c>
      <c r="D22">
        <v>6.0000000000000001E-3</v>
      </c>
      <c r="E22">
        <f>C22</f>
        <v>0.38</v>
      </c>
      <c r="F22">
        <f t="shared" si="1"/>
        <v>3800</v>
      </c>
      <c r="G22" t="s">
        <v>131</v>
      </c>
      <c r="H22">
        <v>3554.3</v>
      </c>
      <c r="I22">
        <v>95.04</v>
      </c>
      <c r="J22" s="20">
        <f t="shared" si="2"/>
        <v>0.35543000000000002</v>
      </c>
      <c r="K22" s="21">
        <f t="shared" si="3"/>
        <v>-6.9127535661030137E-2</v>
      </c>
      <c r="L22" s="21"/>
    </row>
    <row r="23" spans="1:12" x14ac:dyDescent="0.2">
      <c r="A23" t="s">
        <v>327</v>
      </c>
      <c r="B23" t="s">
        <v>298</v>
      </c>
      <c r="C23">
        <v>0.38</v>
      </c>
      <c r="D23">
        <v>6.0000000000000001E-3</v>
      </c>
      <c r="E23">
        <f>C23</f>
        <v>0.38</v>
      </c>
      <c r="F23">
        <f t="shared" si="1"/>
        <v>3800</v>
      </c>
      <c r="G23" t="s">
        <v>132</v>
      </c>
      <c r="H23">
        <v>3520.62</v>
      </c>
      <c r="I23">
        <v>97.32</v>
      </c>
      <c r="J23" s="20">
        <f t="shared" si="2"/>
        <v>0.35206199999999999</v>
      </c>
      <c r="K23" s="21">
        <f t="shared" si="3"/>
        <v>-7.9355340820650877E-2</v>
      </c>
      <c r="L23" s="21"/>
    </row>
    <row r="24" spans="1:12" x14ac:dyDescent="0.2">
      <c r="A24" t="s">
        <v>327</v>
      </c>
      <c r="B24" t="s">
        <v>298</v>
      </c>
      <c r="C24">
        <v>0.38</v>
      </c>
      <c r="D24">
        <v>6.0000000000000001E-3</v>
      </c>
      <c r="E24">
        <f>C24</f>
        <v>0.38</v>
      </c>
      <c r="F24">
        <f t="shared" si="1"/>
        <v>3800</v>
      </c>
      <c r="G24" t="s">
        <v>133</v>
      </c>
      <c r="H24">
        <v>3680.73</v>
      </c>
      <c r="I24">
        <v>95.07</v>
      </c>
      <c r="J24" s="20">
        <f t="shared" si="2"/>
        <v>0.36807299999999998</v>
      </c>
      <c r="K24" s="21">
        <f t="shared" si="3"/>
        <v>-3.2403898139771181E-2</v>
      </c>
      <c r="L24" s="21"/>
    </row>
    <row r="25" spans="1:12" x14ac:dyDescent="0.2">
      <c r="A25" t="s">
        <v>329</v>
      </c>
      <c r="B25" t="s">
        <v>54</v>
      </c>
      <c r="C25">
        <v>4840</v>
      </c>
      <c r="E25">
        <f>C25/10^4</f>
        <v>0.48399999999999999</v>
      </c>
      <c r="F25">
        <f t="shared" si="1"/>
        <v>4840</v>
      </c>
      <c r="G25" t="s">
        <v>134</v>
      </c>
      <c r="H25">
        <v>4949.1899999999996</v>
      </c>
      <c r="I25">
        <v>110.02</v>
      </c>
      <c r="J25" s="20">
        <f t="shared" si="2"/>
        <v>0.49491899999999994</v>
      </c>
      <c r="K25" s="21">
        <f t="shared" si="3"/>
        <v>2.206219603611892E-2</v>
      </c>
      <c r="L25" s="21"/>
    </row>
    <row r="26" spans="1:12" x14ac:dyDescent="0.2">
      <c r="A26" t="s">
        <v>329</v>
      </c>
      <c r="B26" t="s">
        <v>54</v>
      </c>
      <c r="C26">
        <v>4840</v>
      </c>
      <c r="E26">
        <f>C26/10^4</f>
        <v>0.48399999999999999</v>
      </c>
      <c r="F26">
        <f t="shared" si="1"/>
        <v>4840</v>
      </c>
      <c r="G26" t="s">
        <v>136</v>
      </c>
      <c r="H26">
        <v>5090.88</v>
      </c>
      <c r="I26">
        <v>112.4</v>
      </c>
      <c r="J26" s="20">
        <f t="shared" si="2"/>
        <v>0.50908799999999998</v>
      </c>
      <c r="K26" s="21">
        <f t="shared" si="3"/>
        <v>4.9280281601609133E-2</v>
      </c>
      <c r="L26" s="21"/>
    </row>
    <row r="27" spans="1:12" x14ac:dyDescent="0.2">
      <c r="A27" t="s">
        <v>329</v>
      </c>
      <c r="B27" t="s">
        <v>54</v>
      </c>
      <c r="C27">
        <v>4840</v>
      </c>
      <c r="E27">
        <f>C27/10^4</f>
        <v>0.48399999999999999</v>
      </c>
      <c r="F27">
        <f t="shared" si="1"/>
        <v>4840</v>
      </c>
      <c r="G27" t="s">
        <v>137</v>
      </c>
      <c r="H27">
        <v>4961.4399999999996</v>
      </c>
      <c r="I27">
        <v>108.84</v>
      </c>
      <c r="J27" s="20">
        <f t="shared" si="2"/>
        <v>0.49614399999999997</v>
      </c>
      <c r="K27" s="21">
        <f t="shared" si="3"/>
        <v>2.4476764810216323E-2</v>
      </c>
      <c r="L27" s="21"/>
    </row>
    <row r="28" spans="1:12" x14ac:dyDescent="0.2">
      <c r="A28" t="s">
        <v>210</v>
      </c>
      <c r="B28" t="s">
        <v>54</v>
      </c>
      <c r="C28">
        <v>0.33600000000000002</v>
      </c>
      <c r="D28">
        <v>7.0000000000000001E-3</v>
      </c>
      <c r="E28">
        <f>C28</f>
        <v>0.33600000000000002</v>
      </c>
      <c r="F28">
        <f t="shared" si="1"/>
        <v>3360</v>
      </c>
      <c r="G28" t="s">
        <v>262</v>
      </c>
      <c r="H28">
        <v>3746.63</v>
      </c>
      <c r="I28">
        <v>103.18</v>
      </c>
      <c r="J28" s="20">
        <f t="shared" si="2"/>
        <v>0.37466300000000002</v>
      </c>
      <c r="K28" s="21">
        <f t="shared" si="3"/>
        <v>0.1031940704046036</v>
      </c>
      <c r="L28" s="21"/>
    </row>
    <row r="29" spans="1:12" x14ac:dyDescent="0.2">
      <c r="A29" t="s">
        <v>210</v>
      </c>
      <c r="B29" t="s">
        <v>54</v>
      </c>
      <c r="C29">
        <v>0.33600000000000002</v>
      </c>
      <c r="D29">
        <v>7.0000000000000001E-3</v>
      </c>
      <c r="E29">
        <f>C29</f>
        <v>0.33600000000000002</v>
      </c>
      <c r="F29">
        <f t="shared" si="1"/>
        <v>3360</v>
      </c>
      <c r="G29" t="s">
        <v>263</v>
      </c>
      <c r="H29">
        <v>3615.03</v>
      </c>
      <c r="I29">
        <v>102.54</v>
      </c>
      <c r="J29" s="20">
        <f t="shared" si="2"/>
        <v>0.36150300000000002</v>
      </c>
      <c r="K29" s="21">
        <f t="shared" si="3"/>
        <v>7.0547132388942835E-2</v>
      </c>
      <c r="L29" s="21"/>
    </row>
    <row r="30" spans="1:12" x14ac:dyDescent="0.2">
      <c r="A30" t="s">
        <v>210</v>
      </c>
      <c r="B30" t="s">
        <v>54</v>
      </c>
      <c r="C30">
        <v>0.33600000000000002</v>
      </c>
      <c r="D30">
        <v>7.0000000000000001E-3</v>
      </c>
      <c r="E30">
        <f>C30</f>
        <v>0.33600000000000002</v>
      </c>
      <c r="F30">
        <f t="shared" si="1"/>
        <v>3360</v>
      </c>
      <c r="G30" t="s">
        <v>264</v>
      </c>
      <c r="H30">
        <v>3725.59</v>
      </c>
      <c r="I30">
        <v>100.81</v>
      </c>
      <c r="J30" s="20">
        <f t="shared" si="2"/>
        <v>0.37255900000000003</v>
      </c>
      <c r="K30" s="21">
        <f t="shared" si="3"/>
        <v>9.8129423795962567E-2</v>
      </c>
      <c r="L30" s="21"/>
    </row>
  </sheetData>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2:L30"/>
  <sheetViews>
    <sheetView topLeftCell="A33" workbookViewId="0">
      <selection activeCell="J3" sqref="J3"/>
    </sheetView>
  </sheetViews>
  <sheetFormatPr baseColWidth="10" defaultColWidth="8.83203125" defaultRowHeight="15" x14ac:dyDescent="0.2"/>
  <cols>
    <col min="5" max="5" width="12.83203125" bestFit="1" customWidth="1"/>
    <col min="6" max="8" width="11" customWidth="1"/>
    <col min="9" max="9" width="17.5" bestFit="1" customWidth="1"/>
  </cols>
  <sheetData>
    <row r="2" spans="1:10" x14ac:dyDescent="0.2">
      <c r="I2">
        <f>252</f>
        <v>252</v>
      </c>
      <c r="J2">
        <f>I2/C4</f>
        <v>0.86896551724137927</v>
      </c>
    </row>
    <row r="3" spans="1:10" x14ac:dyDescent="0.2">
      <c r="A3" t="s">
        <v>253</v>
      </c>
      <c r="C3" t="s">
        <v>153</v>
      </c>
      <c r="D3" t="s">
        <v>140</v>
      </c>
      <c r="E3" t="s">
        <v>252</v>
      </c>
      <c r="F3" t="s">
        <v>258</v>
      </c>
      <c r="G3" t="s">
        <v>103</v>
      </c>
      <c r="H3" t="s">
        <v>272</v>
      </c>
      <c r="I3" t="s">
        <v>257</v>
      </c>
      <c r="J3" t="s">
        <v>261</v>
      </c>
    </row>
    <row r="4" spans="1:10" x14ac:dyDescent="0.2">
      <c r="A4" t="s">
        <v>254</v>
      </c>
      <c r="C4">
        <v>290</v>
      </c>
      <c r="D4">
        <v>30</v>
      </c>
      <c r="E4">
        <f>C4/10^4</f>
        <v>2.9000000000000001E-2</v>
      </c>
      <c r="F4" t="s">
        <v>122</v>
      </c>
      <c r="I4">
        <v>3.8099000000000001E-2</v>
      </c>
      <c r="J4" s="15">
        <f t="shared" ref="J4:J21" si="0">I4/E4-1</f>
        <v>0.31375862068965521</v>
      </c>
    </row>
    <row r="5" spans="1:10" x14ac:dyDescent="0.2">
      <c r="A5" t="s">
        <v>254</v>
      </c>
      <c r="C5">
        <v>290</v>
      </c>
      <c r="D5">
        <v>30</v>
      </c>
      <c r="E5">
        <f t="shared" ref="E5:E21" si="1">C5/10^4</f>
        <v>2.9000000000000001E-2</v>
      </c>
      <c r="F5" t="s">
        <v>123</v>
      </c>
      <c r="I5">
        <v>3.7293E-2</v>
      </c>
      <c r="J5" s="15">
        <f t="shared" si="0"/>
        <v>0.28596551724137931</v>
      </c>
    </row>
    <row r="6" spans="1:10" x14ac:dyDescent="0.2">
      <c r="A6" t="s">
        <v>254</v>
      </c>
      <c r="C6">
        <v>290</v>
      </c>
      <c r="D6">
        <v>30</v>
      </c>
      <c r="E6">
        <f t="shared" si="1"/>
        <v>2.9000000000000001E-2</v>
      </c>
      <c r="F6" t="s">
        <v>124</v>
      </c>
      <c r="I6">
        <v>3.8960000000000002E-2</v>
      </c>
      <c r="J6" s="15">
        <f t="shared" si="0"/>
        <v>0.34344827586206894</v>
      </c>
    </row>
    <row r="7" spans="1:10" x14ac:dyDescent="0.2">
      <c r="A7" t="s">
        <v>255</v>
      </c>
      <c r="C7">
        <v>134</v>
      </c>
      <c r="D7">
        <v>1.6</v>
      </c>
      <c r="E7">
        <f t="shared" si="1"/>
        <v>1.34E-2</v>
      </c>
      <c r="F7" t="s">
        <v>119</v>
      </c>
      <c r="I7" s="19">
        <v>1.1696999999999999E-2</v>
      </c>
      <c r="J7" s="15">
        <f t="shared" si="0"/>
        <v>-0.12708955223880603</v>
      </c>
    </row>
    <row r="8" spans="1:10" x14ac:dyDescent="0.2">
      <c r="A8" t="s">
        <v>255</v>
      </c>
      <c r="C8">
        <v>134</v>
      </c>
      <c r="D8">
        <v>1.6</v>
      </c>
      <c r="E8">
        <f t="shared" si="1"/>
        <v>1.34E-2</v>
      </c>
      <c r="F8" t="s">
        <v>120</v>
      </c>
      <c r="I8" s="19">
        <v>1.1587999999999999E-2</v>
      </c>
      <c r="J8" s="15">
        <f t="shared" si="0"/>
        <v>-0.13522388059701496</v>
      </c>
    </row>
    <row r="9" spans="1:10" x14ac:dyDescent="0.2">
      <c r="A9" t="s">
        <v>255</v>
      </c>
      <c r="C9">
        <v>134</v>
      </c>
      <c r="D9">
        <v>1.6</v>
      </c>
      <c r="E9">
        <f t="shared" si="1"/>
        <v>1.34E-2</v>
      </c>
      <c r="F9" t="s">
        <v>121</v>
      </c>
      <c r="I9" s="19">
        <v>1.1559999999999999E-2</v>
      </c>
      <c r="J9" s="15">
        <f t="shared" si="0"/>
        <v>-0.13731343283582098</v>
      </c>
    </row>
    <row r="10" spans="1:10" x14ac:dyDescent="0.2">
      <c r="A10" t="s">
        <v>256</v>
      </c>
      <c r="B10" t="s">
        <v>270</v>
      </c>
      <c r="E10">
        <f t="shared" si="1"/>
        <v>0</v>
      </c>
      <c r="F10" t="s">
        <v>116</v>
      </c>
      <c r="I10" s="16"/>
      <c r="J10" s="15" t="e">
        <f t="shared" si="0"/>
        <v>#DIV/0!</v>
      </c>
    </row>
    <row r="11" spans="1:10" x14ac:dyDescent="0.2">
      <c r="A11" t="s">
        <v>256</v>
      </c>
      <c r="B11" t="s">
        <v>270</v>
      </c>
      <c r="E11">
        <f t="shared" si="1"/>
        <v>0</v>
      </c>
      <c r="F11" t="s">
        <v>117</v>
      </c>
      <c r="I11" s="16"/>
      <c r="J11" s="15" t="e">
        <f t="shared" si="0"/>
        <v>#DIV/0!</v>
      </c>
    </row>
    <row r="12" spans="1:10" x14ac:dyDescent="0.2">
      <c r="A12" t="s">
        <v>256</v>
      </c>
      <c r="B12" t="s">
        <v>270</v>
      </c>
      <c r="E12">
        <f t="shared" si="1"/>
        <v>0</v>
      </c>
      <c r="F12" t="s">
        <v>118</v>
      </c>
      <c r="I12" s="16"/>
      <c r="J12" s="15" t="e">
        <f t="shared" si="0"/>
        <v>#DIV/0!</v>
      </c>
    </row>
    <row r="13" spans="1:10" x14ac:dyDescent="0.2">
      <c r="A13" t="s">
        <v>259</v>
      </c>
      <c r="C13">
        <v>550</v>
      </c>
      <c r="D13">
        <v>30</v>
      </c>
      <c r="E13">
        <f t="shared" si="1"/>
        <v>5.5E-2</v>
      </c>
      <c r="F13" t="s">
        <v>110</v>
      </c>
      <c r="I13" s="18">
        <v>6.9939000000000001E-2</v>
      </c>
      <c r="J13" s="15">
        <f t="shared" si="0"/>
        <v>0.27161818181818176</v>
      </c>
    </row>
    <row r="14" spans="1:10" x14ac:dyDescent="0.2">
      <c r="A14" t="s">
        <v>259</v>
      </c>
      <c r="C14">
        <v>550</v>
      </c>
      <c r="D14">
        <v>30</v>
      </c>
      <c r="E14">
        <f t="shared" si="1"/>
        <v>5.5E-2</v>
      </c>
      <c r="F14" t="s">
        <v>111</v>
      </c>
      <c r="I14" s="18">
        <v>6.9162000000000001E-2</v>
      </c>
      <c r="J14" s="15">
        <f t="shared" si="0"/>
        <v>0.25749090909090921</v>
      </c>
    </row>
    <row r="15" spans="1:10" x14ac:dyDescent="0.2">
      <c r="A15" t="s">
        <v>259</v>
      </c>
      <c r="C15">
        <v>550</v>
      </c>
      <c r="D15">
        <v>30</v>
      </c>
      <c r="E15">
        <f t="shared" si="1"/>
        <v>5.5E-2</v>
      </c>
      <c r="F15" t="s">
        <v>112</v>
      </c>
      <c r="I15" s="18">
        <v>6.9579000000000002E-2</v>
      </c>
      <c r="J15" s="15">
        <f t="shared" si="0"/>
        <v>0.26507272727272735</v>
      </c>
    </row>
    <row r="16" spans="1:10" x14ac:dyDescent="0.2">
      <c r="A16" t="s">
        <v>113</v>
      </c>
      <c r="C16">
        <v>230</v>
      </c>
      <c r="D16">
        <v>4</v>
      </c>
      <c r="E16">
        <f t="shared" si="1"/>
        <v>2.3E-2</v>
      </c>
      <c r="F16" t="s">
        <v>113</v>
      </c>
      <c r="I16" s="16">
        <v>2.9488999999999998E-2</v>
      </c>
      <c r="J16" s="15">
        <f t="shared" si="0"/>
        <v>0.28213043478260857</v>
      </c>
    </row>
    <row r="17" spans="1:12" x14ac:dyDescent="0.2">
      <c r="A17" t="s">
        <v>113</v>
      </c>
      <c r="C17">
        <v>230</v>
      </c>
      <c r="D17">
        <v>4</v>
      </c>
      <c r="E17">
        <f t="shared" si="1"/>
        <v>2.3E-2</v>
      </c>
      <c r="F17" t="s">
        <v>114</v>
      </c>
      <c r="I17" s="16">
        <v>2.9488E-2</v>
      </c>
      <c r="J17" s="15">
        <f t="shared" si="0"/>
        <v>0.28208695652173921</v>
      </c>
    </row>
    <row r="18" spans="1:12" x14ac:dyDescent="0.2">
      <c r="A18" t="s">
        <v>113</v>
      </c>
      <c r="C18">
        <v>230</v>
      </c>
      <c r="D18">
        <v>4</v>
      </c>
      <c r="E18">
        <f t="shared" si="1"/>
        <v>2.3E-2</v>
      </c>
      <c r="F18" t="s">
        <v>115</v>
      </c>
      <c r="I18" s="16">
        <v>2.9314999999999997E-2</v>
      </c>
      <c r="J18" s="15">
        <f t="shared" si="0"/>
        <v>0.27456521739130424</v>
      </c>
    </row>
    <row r="19" spans="1:12" x14ac:dyDescent="0.2">
      <c r="A19" t="s">
        <v>260</v>
      </c>
      <c r="C19">
        <v>188</v>
      </c>
      <c r="D19">
        <v>16</v>
      </c>
      <c r="E19">
        <f t="shared" si="1"/>
        <v>1.8800000000000001E-2</v>
      </c>
      <c r="F19" t="s">
        <v>106</v>
      </c>
      <c r="I19" s="19">
        <v>1.6371E-2</v>
      </c>
      <c r="J19" s="15">
        <f t="shared" si="0"/>
        <v>-0.12920212765957451</v>
      </c>
    </row>
    <row r="20" spans="1:12" x14ac:dyDescent="0.2">
      <c r="A20" t="s">
        <v>260</v>
      </c>
      <c r="C20">
        <v>188</v>
      </c>
      <c r="D20">
        <v>16</v>
      </c>
      <c r="E20">
        <f t="shared" si="1"/>
        <v>1.8800000000000001E-2</v>
      </c>
      <c r="F20" t="s">
        <v>108</v>
      </c>
      <c r="I20" s="19">
        <v>1.5712E-2</v>
      </c>
      <c r="J20" s="15">
        <f t="shared" si="0"/>
        <v>-0.16425531914893621</v>
      </c>
    </row>
    <row r="21" spans="1:12" x14ac:dyDescent="0.2">
      <c r="A21" t="s">
        <v>260</v>
      </c>
      <c r="C21">
        <v>188</v>
      </c>
      <c r="D21">
        <v>16</v>
      </c>
      <c r="E21">
        <f t="shared" si="1"/>
        <v>1.8800000000000001E-2</v>
      </c>
      <c r="F21" t="s">
        <v>109</v>
      </c>
      <c r="I21" s="19">
        <v>1.5678999999999998E-2</v>
      </c>
      <c r="J21" s="15">
        <f t="shared" si="0"/>
        <v>-0.16601063829787244</v>
      </c>
    </row>
    <row r="22" spans="1:12" x14ac:dyDescent="0.2">
      <c r="A22" t="s">
        <v>327</v>
      </c>
      <c r="B22" t="s">
        <v>270</v>
      </c>
      <c r="F22" t="s">
        <v>131</v>
      </c>
      <c r="G22">
        <v>430.39</v>
      </c>
      <c r="H22">
        <v>4.3039000000000001E-2</v>
      </c>
      <c r="I22">
        <f>G22/10^4</f>
        <v>4.3039000000000001E-2</v>
      </c>
      <c r="J22" s="15" t="e">
        <f t="shared" ref="J22:J30" si="2">I22/E22-1</f>
        <v>#DIV/0!</v>
      </c>
    </row>
    <row r="23" spans="1:12" x14ac:dyDescent="0.2">
      <c r="A23" t="s">
        <v>327</v>
      </c>
      <c r="B23" t="s">
        <v>270</v>
      </c>
      <c r="F23" t="s">
        <v>132</v>
      </c>
      <c r="G23">
        <v>436.89</v>
      </c>
      <c r="H23">
        <v>4.3688999999999999E-2</v>
      </c>
      <c r="I23">
        <f t="shared" ref="I23:I30" si="3">G23/10^4</f>
        <v>4.3688999999999999E-2</v>
      </c>
      <c r="J23" s="15" t="e">
        <f t="shared" si="2"/>
        <v>#DIV/0!</v>
      </c>
    </row>
    <row r="24" spans="1:12" x14ac:dyDescent="0.2">
      <c r="A24" t="s">
        <v>327</v>
      </c>
      <c r="B24" t="s">
        <v>270</v>
      </c>
      <c r="F24" t="s">
        <v>133</v>
      </c>
      <c r="G24">
        <v>385.73</v>
      </c>
      <c r="H24">
        <v>3.8573000000000003E-2</v>
      </c>
      <c r="I24">
        <f t="shared" si="3"/>
        <v>3.8573000000000003E-2</v>
      </c>
      <c r="J24" s="15" t="e">
        <f t="shared" si="2"/>
        <v>#DIV/0!</v>
      </c>
    </row>
    <row r="25" spans="1:12" x14ac:dyDescent="0.2">
      <c r="A25" t="s">
        <v>329</v>
      </c>
      <c r="B25" t="s">
        <v>16</v>
      </c>
      <c r="C25">
        <v>385</v>
      </c>
      <c r="E25">
        <f t="shared" ref="E25:E30" si="4">C25/10^4</f>
        <v>3.85E-2</v>
      </c>
      <c r="F25" t="s">
        <v>134</v>
      </c>
      <c r="G25">
        <v>485.03</v>
      </c>
      <c r="H25">
        <v>4.8502999999999998E-2</v>
      </c>
      <c r="I25">
        <f t="shared" si="3"/>
        <v>4.8502999999999998E-2</v>
      </c>
      <c r="J25" s="15">
        <f t="shared" si="2"/>
        <v>0.25981818181818173</v>
      </c>
      <c r="L25" t="s">
        <v>271</v>
      </c>
    </row>
    <row r="26" spans="1:12" x14ac:dyDescent="0.2">
      <c r="A26" t="s">
        <v>329</v>
      </c>
      <c r="B26" t="s">
        <v>16</v>
      </c>
      <c r="C26">
        <v>385</v>
      </c>
      <c r="E26">
        <f t="shared" si="4"/>
        <v>3.85E-2</v>
      </c>
      <c r="F26" t="s">
        <v>136</v>
      </c>
      <c r="G26">
        <v>488.08</v>
      </c>
      <c r="H26">
        <v>4.8807999999999997E-2</v>
      </c>
      <c r="I26">
        <f t="shared" si="3"/>
        <v>4.8807999999999997E-2</v>
      </c>
      <c r="J26" s="15">
        <f t="shared" si="2"/>
        <v>0.26774025974025961</v>
      </c>
    </row>
    <row r="27" spans="1:12" x14ac:dyDescent="0.2">
      <c r="A27" t="s">
        <v>329</v>
      </c>
      <c r="B27" t="s">
        <v>16</v>
      </c>
      <c r="C27">
        <v>385</v>
      </c>
      <c r="E27">
        <f t="shared" si="4"/>
        <v>3.85E-2</v>
      </c>
      <c r="F27" t="s">
        <v>137</v>
      </c>
      <c r="G27">
        <v>471.28</v>
      </c>
      <c r="H27">
        <v>4.7127999999999996E-2</v>
      </c>
      <c r="I27">
        <f t="shared" si="3"/>
        <v>4.7127999999999996E-2</v>
      </c>
      <c r="J27" s="15">
        <f t="shared" si="2"/>
        <v>0.22410389610389592</v>
      </c>
    </row>
    <row r="28" spans="1:12" x14ac:dyDescent="0.2">
      <c r="A28" t="s">
        <v>210</v>
      </c>
      <c r="B28" t="s">
        <v>16</v>
      </c>
      <c r="C28">
        <v>195</v>
      </c>
      <c r="D28">
        <v>46</v>
      </c>
      <c r="E28">
        <f t="shared" si="4"/>
        <v>1.95E-2</v>
      </c>
      <c r="F28" t="s">
        <v>262</v>
      </c>
      <c r="G28">
        <v>123.74</v>
      </c>
      <c r="H28">
        <v>1.2374E-2</v>
      </c>
      <c r="I28">
        <f t="shared" si="3"/>
        <v>1.2374E-2</v>
      </c>
      <c r="J28" s="15">
        <f t="shared" si="2"/>
        <v>-0.36543589743589744</v>
      </c>
    </row>
    <row r="29" spans="1:12" x14ac:dyDescent="0.2">
      <c r="A29" t="s">
        <v>210</v>
      </c>
      <c r="B29" t="s">
        <v>16</v>
      </c>
      <c r="C29">
        <v>195</v>
      </c>
      <c r="D29">
        <v>46</v>
      </c>
      <c r="E29">
        <f t="shared" si="4"/>
        <v>1.95E-2</v>
      </c>
      <c r="F29" t="s">
        <v>263</v>
      </c>
      <c r="G29">
        <v>115.06</v>
      </c>
      <c r="H29">
        <v>1.1506000000000001E-2</v>
      </c>
      <c r="I29">
        <f t="shared" si="3"/>
        <v>1.1506000000000001E-2</v>
      </c>
      <c r="J29" s="15">
        <f t="shared" si="2"/>
        <v>-0.4099487179487179</v>
      </c>
    </row>
    <row r="30" spans="1:12" x14ac:dyDescent="0.2">
      <c r="A30" t="s">
        <v>210</v>
      </c>
      <c r="B30" t="s">
        <v>16</v>
      </c>
      <c r="C30">
        <v>195</v>
      </c>
      <c r="D30">
        <v>46</v>
      </c>
      <c r="E30">
        <f t="shared" si="4"/>
        <v>1.95E-2</v>
      </c>
      <c r="F30" t="s">
        <v>264</v>
      </c>
      <c r="G30">
        <v>103.98</v>
      </c>
      <c r="H30">
        <v>1.0398000000000001E-2</v>
      </c>
      <c r="I30">
        <f t="shared" si="3"/>
        <v>1.0398000000000001E-2</v>
      </c>
      <c r="J30" s="15">
        <f t="shared" si="2"/>
        <v>-0.46676923076923071</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4"/>
  <sheetViews>
    <sheetView topLeftCell="A16" workbookViewId="0">
      <selection activeCell="L20" sqref="L20"/>
    </sheetView>
  </sheetViews>
  <sheetFormatPr baseColWidth="10" defaultColWidth="8.83203125" defaultRowHeight="15" x14ac:dyDescent="0.2"/>
  <sheetData>
    <row r="1" spans="1:8" x14ac:dyDescent="0.2">
      <c r="A1" s="2" t="s">
        <v>185</v>
      </c>
      <c r="F1" t="s">
        <v>191</v>
      </c>
    </row>
    <row r="2" spans="1:8" x14ac:dyDescent="0.2">
      <c r="A2" t="s">
        <v>179</v>
      </c>
    </row>
    <row r="3" spans="1:8" x14ac:dyDescent="0.2">
      <c r="A3" t="s">
        <v>138</v>
      </c>
      <c r="B3" t="s">
        <v>139</v>
      </c>
      <c r="C3" t="s">
        <v>140</v>
      </c>
      <c r="E3" t="s">
        <v>141</v>
      </c>
      <c r="F3" t="s">
        <v>139</v>
      </c>
      <c r="G3" t="s">
        <v>140</v>
      </c>
    </row>
    <row r="4" spans="1:8" x14ac:dyDescent="0.2">
      <c r="A4" t="s">
        <v>92</v>
      </c>
      <c r="B4">
        <v>7.88</v>
      </c>
      <c r="C4">
        <v>0.11</v>
      </c>
      <c r="E4" t="s">
        <v>142</v>
      </c>
      <c r="F4">
        <v>14.9</v>
      </c>
      <c r="G4">
        <v>0.2</v>
      </c>
    </row>
    <row r="5" spans="1:8" x14ac:dyDescent="0.2">
      <c r="A5" t="s">
        <v>58</v>
      </c>
      <c r="B5">
        <v>1.5</v>
      </c>
      <c r="C5">
        <v>0.04</v>
      </c>
      <c r="E5" t="s">
        <v>143</v>
      </c>
      <c r="F5">
        <v>2.1</v>
      </c>
      <c r="G5">
        <v>0.06</v>
      </c>
    </row>
    <row r="6" spans="1:8" x14ac:dyDescent="0.2">
      <c r="A6" t="s">
        <v>144</v>
      </c>
      <c r="B6">
        <v>3.43</v>
      </c>
      <c r="C6">
        <v>0.11</v>
      </c>
      <c r="E6" t="s">
        <v>186</v>
      </c>
      <c r="F6">
        <v>4.9000000000000004</v>
      </c>
      <c r="G6">
        <v>0.16</v>
      </c>
      <c r="H6">
        <f>F6*0.6994</f>
        <v>3.4270600000000004</v>
      </c>
    </row>
    <row r="7" spans="1:8" x14ac:dyDescent="0.2">
      <c r="A7" t="s">
        <v>60</v>
      </c>
      <c r="B7">
        <v>4.4800000000000004</v>
      </c>
      <c r="C7">
        <v>0.12</v>
      </c>
      <c r="E7" t="s">
        <v>146</v>
      </c>
      <c r="F7">
        <v>5.38</v>
      </c>
      <c r="G7">
        <v>0.14000000000000001</v>
      </c>
    </row>
    <row r="8" spans="1:8" x14ac:dyDescent="0.2">
      <c r="A8" t="s">
        <v>100</v>
      </c>
      <c r="B8">
        <v>0.57999999999999996</v>
      </c>
      <c r="C8">
        <v>0.02</v>
      </c>
      <c r="E8" t="s">
        <v>147</v>
      </c>
      <c r="F8">
        <v>0.96</v>
      </c>
      <c r="G8">
        <v>0.03</v>
      </c>
    </row>
    <row r="9" spans="1:8" x14ac:dyDescent="0.2">
      <c r="A9" t="s">
        <v>148</v>
      </c>
      <c r="B9">
        <v>2.06</v>
      </c>
      <c r="C9">
        <v>7.0000000000000007E-2</v>
      </c>
      <c r="E9" t="s">
        <v>149</v>
      </c>
      <c r="F9">
        <v>2.78</v>
      </c>
      <c r="G9">
        <v>0.09</v>
      </c>
    </row>
    <row r="10" spans="1:8" x14ac:dyDescent="0.2">
      <c r="A10" t="s">
        <v>94</v>
      </c>
      <c r="B10">
        <v>0.13</v>
      </c>
      <c r="C10">
        <v>0.01</v>
      </c>
      <c r="E10" t="s">
        <v>150</v>
      </c>
      <c r="F10">
        <v>0.28999999999999998</v>
      </c>
      <c r="G10">
        <v>0.02</v>
      </c>
    </row>
    <row r="11" spans="1:8" x14ac:dyDescent="0.2">
      <c r="A11" t="s">
        <v>96</v>
      </c>
      <c r="B11">
        <v>31.1</v>
      </c>
      <c r="C11">
        <v>0.4</v>
      </c>
      <c r="E11" t="s">
        <v>151</v>
      </c>
      <c r="F11">
        <v>66.599999999999994</v>
      </c>
      <c r="G11">
        <v>0.8</v>
      </c>
    </row>
    <row r="12" spans="1:8" x14ac:dyDescent="0.2">
      <c r="A12" t="s">
        <v>54</v>
      </c>
      <c r="B12">
        <v>0.4</v>
      </c>
      <c r="C12">
        <v>0.01</v>
      </c>
      <c r="E12" t="s">
        <v>152</v>
      </c>
      <c r="F12">
        <v>0.66</v>
      </c>
      <c r="G12">
        <v>0.02</v>
      </c>
    </row>
    <row r="13" spans="1:8" x14ac:dyDescent="0.2">
      <c r="A13" t="s">
        <v>138</v>
      </c>
      <c r="B13" t="s">
        <v>153</v>
      </c>
      <c r="C13" t="s">
        <v>140</v>
      </c>
      <c r="E13" t="s">
        <v>138</v>
      </c>
      <c r="F13" t="s">
        <v>153</v>
      </c>
      <c r="G13" t="s">
        <v>140</v>
      </c>
    </row>
    <row r="14" spans="1:8" x14ac:dyDescent="0.2">
      <c r="A14" t="s">
        <v>64</v>
      </c>
      <c r="B14">
        <v>1340</v>
      </c>
      <c r="C14">
        <v>44</v>
      </c>
      <c r="D14">
        <f>B14/10^4</f>
        <v>0.13400000000000001</v>
      </c>
      <c r="E14" t="s">
        <v>26</v>
      </c>
      <c r="F14">
        <v>42</v>
      </c>
      <c r="G14">
        <v>3</v>
      </c>
    </row>
    <row r="15" spans="1:8" x14ac:dyDescent="0.2">
      <c r="A15" t="s">
        <v>154</v>
      </c>
      <c r="B15">
        <v>410</v>
      </c>
      <c r="C15">
        <v>30</v>
      </c>
      <c r="D15">
        <f t="shared" ref="D15:D25" si="0">B15/10^4</f>
        <v>4.1000000000000002E-2</v>
      </c>
      <c r="E15" t="s">
        <v>22</v>
      </c>
      <c r="F15">
        <v>245</v>
      </c>
      <c r="G15">
        <v>7</v>
      </c>
    </row>
    <row r="16" spans="1:8" x14ac:dyDescent="0.2">
      <c r="A16" t="s">
        <v>44</v>
      </c>
      <c r="B16">
        <v>7.3</v>
      </c>
      <c r="C16">
        <v>0.8</v>
      </c>
      <c r="D16">
        <f t="shared" si="0"/>
        <v>7.2999999999999996E-4</v>
      </c>
      <c r="E16" t="s">
        <v>56</v>
      </c>
      <c r="F16">
        <v>6.3</v>
      </c>
      <c r="G16">
        <v>0.7</v>
      </c>
    </row>
    <row r="17" spans="1:7" x14ac:dyDescent="0.2">
      <c r="A17" t="s">
        <v>50</v>
      </c>
      <c r="B17">
        <v>20</v>
      </c>
      <c r="C17">
        <v>6</v>
      </c>
      <c r="D17">
        <f t="shared" si="0"/>
        <v>2E-3</v>
      </c>
      <c r="E17" t="s">
        <v>166</v>
      </c>
      <c r="F17">
        <v>27</v>
      </c>
      <c r="G17">
        <v>1</v>
      </c>
    </row>
    <row r="18" spans="1:7" x14ac:dyDescent="0.2">
      <c r="A18" t="s">
        <v>40</v>
      </c>
      <c r="B18">
        <v>43</v>
      </c>
      <c r="C18">
        <v>4</v>
      </c>
      <c r="D18">
        <f t="shared" si="0"/>
        <v>4.3E-3</v>
      </c>
      <c r="E18" t="s">
        <v>18</v>
      </c>
      <c r="F18">
        <v>240</v>
      </c>
      <c r="G18">
        <v>10</v>
      </c>
    </row>
    <row r="19" spans="1:7" x14ac:dyDescent="0.2">
      <c r="A19" t="s">
        <v>155</v>
      </c>
      <c r="B19">
        <v>2.2999999999999998</v>
      </c>
      <c r="C19">
        <v>0.1</v>
      </c>
      <c r="D19">
        <f t="shared" si="0"/>
        <v>2.2999999999999998E-4</v>
      </c>
      <c r="E19" t="s">
        <v>24</v>
      </c>
      <c r="F19">
        <v>105</v>
      </c>
      <c r="G19">
        <v>8</v>
      </c>
    </row>
    <row r="20" spans="1:7" x14ac:dyDescent="0.2">
      <c r="A20" t="s">
        <v>156</v>
      </c>
      <c r="B20">
        <v>22</v>
      </c>
      <c r="C20">
        <v>2</v>
      </c>
      <c r="D20">
        <f t="shared" si="0"/>
        <v>2.2000000000000001E-3</v>
      </c>
      <c r="E20" t="s">
        <v>20</v>
      </c>
      <c r="F20">
        <v>2.4</v>
      </c>
      <c r="G20">
        <v>0.19</v>
      </c>
    </row>
    <row r="21" spans="1:7" x14ac:dyDescent="0.2">
      <c r="A21" t="s">
        <v>159</v>
      </c>
      <c r="B21">
        <v>180</v>
      </c>
      <c r="C21">
        <v>12</v>
      </c>
      <c r="D21">
        <f t="shared" si="0"/>
        <v>1.7999999999999999E-2</v>
      </c>
      <c r="E21" t="s">
        <v>52</v>
      </c>
      <c r="F21">
        <v>52</v>
      </c>
      <c r="G21">
        <v>4</v>
      </c>
    </row>
    <row r="22" spans="1:7" x14ac:dyDescent="0.2">
      <c r="A22" t="s">
        <v>48</v>
      </c>
      <c r="B22">
        <v>320</v>
      </c>
      <c r="C22">
        <v>20</v>
      </c>
      <c r="D22">
        <f t="shared" si="0"/>
        <v>3.2000000000000001E-2</v>
      </c>
      <c r="E22" t="s">
        <v>158</v>
      </c>
      <c r="F22">
        <v>28</v>
      </c>
      <c r="G22">
        <v>2</v>
      </c>
    </row>
    <row r="23" spans="1:7" x14ac:dyDescent="0.2">
      <c r="A23" t="s">
        <v>82</v>
      </c>
      <c r="B23">
        <v>27</v>
      </c>
      <c r="C23">
        <v>2</v>
      </c>
      <c r="D23">
        <f t="shared" si="0"/>
        <v>2.7000000000000001E-3</v>
      </c>
      <c r="E23" t="s">
        <v>160</v>
      </c>
      <c r="F23">
        <v>1.6</v>
      </c>
      <c r="G23">
        <v>0.2</v>
      </c>
    </row>
    <row r="24" spans="1:7" x14ac:dyDescent="0.2">
      <c r="A24" t="s">
        <v>161</v>
      </c>
      <c r="B24">
        <v>200</v>
      </c>
      <c r="C24">
        <v>12</v>
      </c>
      <c r="D24">
        <f t="shared" si="0"/>
        <v>0.02</v>
      </c>
      <c r="E24" t="s">
        <v>36</v>
      </c>
      <c r="F24">
        <v>120</v>
      </c>
      <c r="G24">
        <v>10</v>
      </c>
    </row>
    <row r="25" spans="1:7" x14ac:dyDescent="0.2">
      <c r="A25" t="s">
        <v>42</v>
      </c>
      <c r="B25">
        <v>17</v>
      </c>
      <c r="C25">
        <v>2</v>
      </c>
      <c r="D25">
        <f t="shared" si="0"/>
        <v>1.6999999999999999E-3</v>
      </c>
      <c r="E25" t="s">
        <v>16</v>
      </c>
      <c r="F25">
        <v>550</v>
      </c>
      <c r="G25">
        <v>30</v>
      </c>
    </row>
    <row r="26" spans="1:7" x14ac:dyDescent="0.2">
      <c r="A26" t="s">
        <v>162</v>
      </c>
    </row>
    <row r="27" spans="1:7" x14ac:dyDescent="0.2">
      <c r="A27" t="s">
        <v>138</v>
      </c>
      <c r="B27" t="s">
        <v>153</v>
      </c>
      <c r="C27" t="s">
        <v>140</v>
      </c>
      <c r="E27" t="s">
        <v>138</v>
      </c>
      <c r="F27" t="s">
        <v>153</v>
      </c>
      <c r="G27" t="s">
        <v>140</v>
      </c>
    </row>
    <row r="28" spans="1:7" x14ac:dyDescent="0.2">
      <c r="A28" t="s">
        <v>181</v>
      </c>
      <c r="B28">
        <v>1.5</v>
      </c>
      <c r="C28">
        <v>0.2</v>
      </c>
      <c r="E28" t="s">
        <v>167</v>
      </c>
      <c r="F28">
        <v>1</v>
      </c>
      <c r="G28">
        <v>0.1</v>
      </c>
    </row>
    <row r="29" spans="1:7" x14ac:dyDescent="0.2">
      <c r="A29" t="s">
        <v>66</v>
      </c>
      <c r="B29">
        <v>1.2</v>
      </c>
      <c r="C29">
        <v>0.1</v>
      </c>
      <c r="E29" t="s">
        <v>169</v>
      </c>
      <c r="F29">
        <v>36</v>
      </c>
      <c r="G29">
        <v>1</v>
      </c>
    </row>
    <row r="30" spans="1:7" x14ac:dyDescent="0.2">
      <c r="A30" t="s">
        <v>182</v>
      </c>
      <c r="B30">
        <v>6.1</v>
      </c>
      <c r="E30" t="s">
        <v>163</v>
      </c>
      <c r="F30">
        <v>0.23</v>
      </c>
      <c r="G30">
        <v>0.03</v>
      </c>
    </row>
    <row r="31" spans="1:7" x14ac:dyDescent="0.2">
      <c r="A31" t="s">
        <v>183</v>
      </c>
      <c r="B31">
        <v>2.2000000000000002</v>
      </c>
      <c r="E31" t="s">
        <v>14</v>
      </c>
      <c r="F31">
        <v>2.1</v>
      </c>
      <c r="G31">
        <v>0.6</v>
      </c>
    </row>
    <row r="32" spans="1:7" x14ac:dyDescent="0.2">
      <c r="A32" t="s">
        <v>164</v>
      </c>
      <c r="B32">
        <v>3000</v>
      </c>
      <c r="E32" t="s">
        <v>165</v>
      </c>
      <c r="F32">
        <v>51</v>
      </c>
      <c r="G32">
        <v>5</v>
      </c>
    </row>
    <row r="33" spans="1:7" x14ac:dyDescent="0.2">
      <c r="A33" t="s">
        <v>157</v>
      </c>
      <c r="B33">
        <v>12</v>
      </c>
      <c r="C33">
        <v>2</v>
      </c>
      <c r="E33" t="s">
        <v>54</v>
      </c>
      <c r="F33">
        <v>1.1000000000000001</v>
      </c>
    </row>
    <row r="34" spans="1:7" x14ac:dyDescent="0.2">
      <c r="A34" t="s">
        <v>90</v>
      </c>
      <c r="B34">
        <v>14</v>
      </c>
      <c r="C34">
        <v>1</v>
      </c>
      <c r="E34" t="s">
        <v>170</v>
      </c>
      <c r="F34">
        <v>0.28999999999999998</v>
      </c>
      <c r="G34">
        <v>0.02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0"/>
  <sheetViews>
    <sheetView topLeftCell="U22" workbookViewId="0">
      <selection activeCell="H22" sqref="H22"/>
    </sheetView>
  </sheetViews>
  <sheetFormatPr baseColWidth="10" defaultColWidth="8.83203125" defaultRowHeight="15" x14ac:dyDescent="0.2"/>
  <sheetData>
    <row r="1" spans="1:8" x14ac:dyDescent="0.2">
      <c r="A1" s="2" t="s">
        <v>178</v>
      </c>
      <c r="E1" t="s">
        <v>192</v>
      </c>
    </row>
    <row r="2" spans="1:8" x14ac:dyDescent="0.2">
      <c r="A2" t="s">
        <v>179</v>
      </c>
    </row>
    <row r="3" spans="1:8" x14ac:dyDescent="0.2">
      <c r="A3" t="s">
        <v>138</v>
      </c>
      <c r="B3" t="s">
        <v>139</v>
      </c>
      <c r="C3" t="s">
        <v>140</v>
      </c>
      <c r="E3" t="s">
        <v>141</v>
      </c>
      <c r="F3" t="s">
        <v>139</v>
      </c>
      <c r="G3" t="s">
        <v>140</v>
      </c>
    </row>
    <row r="4" spans="1:8" x14ac:dyDescent="0.2">
      <c r="A4" t="s">
        <v>92</v>
      </c>
      <c r="B4">
        <v>8.9499999999999993</v>
      </c>
      <c r="C4">
        <v>0.11</v>
      </c>
      <c r="E4" t="s">
        <v>142</v>
      </c>
      <c r="F4">
        <v>16.91</v>
      </c>
      <c r="G4">
        <v>0.21</v>
      </c>
    </row>
    <row r="5" spans="1:8" x14ac:dyDescent="0.2">
      <c r="A5" t="s">
        <v>58</v>
      </c>
      <c r="B5">
        <v>3.72</v>
      </c>
      <c r="C5">
        <v>0.09</v>
      </c>
      <c r="E5" t="s">
        <v>143</v>
      </c>
      <c r="F5">
        <v>5.2</v>
      </c>
      <c r="G5">
        <v>0.13</v>
      </c>
    </row>
    <row r="6" spans="1:8" x14ac:dyDescent="0.2">
      <c r="A6" t="s">
        <v>46</v>
      </c>
      <c r="B6">
        <v>4.68</v>
      </c>
      <c r="C6">
        <v>0.09</v>
      </c>
      <c r="E6" t="s">
        <v>180</v>
      </c>
      <c r="F6">
        <v>6.69</v>
      </c>
      <c r="G6">
        <v>0.13</v>
      </c>
      <c r="H6">
        <f>F6*0.6994</f>
        <v>4.6789860000000001</v>
      </c>
    </row>
    <row r="7" spans="1:8" x14ac:dyDescent="0.2">
      <c r="A7" t="s">
        <v>60</v>
      </c>
      <c r="B7">
        <v>2.39</v>
      </c>
      <c r="C7">
        <v>0.09</v>
      </c>
      <c r="E7" t="s">
        <v>146</v>
      </c>
      <c r="F7">
        <v>2.88</v>
      </c>
      <c r="G7">
        <v>0.11</v>
      </c>
    </row>
    <row r="8" spans="1:8" x14ac:dyDescent="0.2">
      <c r="A8" t="s">
        <v>100</v>
      </c>
      <c r="B8">
        <v>1.08</v>
      </c>
      <c r="C8">
        <v>0.02</v>
      </c>
      <c r="E8" t="s">
        <v>147</v>
      </c>
      <c r="F8">
        <v>1.79</v>
      </c>
      <c r="G8">
        <v>0.03</v>
      </c>
    </row>
    <row r="9" spans="1:8" x14ac:dyDescent="0.2">
      <c r="A9" t="s">
        <v>148</v>
      </c>
      <c r="B9">
        <v>3.11</v>
      </c>
      <c r="C9">
        <v>0.09</v>
      </c>
      <c r="E9" t="s">
        <v>149</v>
      </c>
      <c r="F9">
        <v>4.1900000000000004</v>
      </c>
      <c r="G9">
        <v>0.13</v>
      </c>
    </row>
    <row r="10" spans="1:8" x14ac:dyDescent="0.2">
      <c r="A10" t="s">
        <v>94</v>
      </c>
      <c r="B10">
        <v>0.21</v>
      </c>
      <c r="C10">
        <v>0.01</v>
      </c>
      <c r="E10" t="s">
        <v>150</v>
      </c>
      <c r="F10">
        <v>0.48</v>
      </c>
      <c r="G10">
        <v>0.02</v>
      </c>
      <c r="H10">
        <f>F10*0.436420668103728</f>
        <v>0.20948192068978944</v>
      </c>
    </row>
    <row r="11" spans="1:8" x14ac:dyDescent="0.2">
      <c r="A11" t="s">
        <v>96</v>
      </c>
      <c r="B11">
        <v>27.7</v>
      </c>
      <c r="C11">
        <v>0.35</v>
      </c>
      <c r="E11" t="s">
        <v>151</v>
      </c>
      <c r="F11">
        <v>59.3</v>
      </c>
      <c r="G11">
        <v>0.7</v>
      </c>
    </row>
    <row r="12" spans="1:8" x14ac:dyDescent="0.2">
      <c r="A12" t="s">
        <v>54</v>
      </c>
      <c r="B12">
        <v>0.63</v>
      </c>
      <c r="C12">
        <v>0.13</v>
      </c>
      <c r="E12" t="s">
        <v>152</v>
      </c>
      <c r="F12">
        <v>1.05</v>
      </c>
      <c r="G12">
        <v>0.22</v>
      </c>
    </row>
    <row r="13" spans="1:8" x14ac:dyDescent="0.2">
      <c r="A13" t="s">
        <v>138</v>
      </c>
      <c r="B13" t="s">
        <v>153</v>
      </c>
      <c r="C13" t="s">
        <v>140</v>
      </c>
      <c r="E13" t="s">
        <v>138</v>
      </c>
      <c r="F13" t="s">
        <v>153</v>
      </c>
      <c r="G13" t="s">
        <v>140</v>
      </c>
    </row>
    <row r="14" spans="1:8" x14ac:dyDescent="0.2">
      <c r="A14" t="s">
        <v>64</v>
      </c>
      <c r="B14">
        <v>1140</v>
      </c>
      <c r="C14">
        <v>32</v>
      </c>
      <c r="E14" t="s">
        <v>26</v>
      </c>
      <c r="F14">
        <v>13</v>
      </c>
      <c r="G14">
        <v>1</v>
      </c>
    </row>
    <row r="15" spans="1:8" x14ac:dyDescent="0.2">
      <c r="A15" t="s">
        <v>181</v>
      </c>
      <c r="B15">
        <v>2.2999999999999998</v>
      </c>
      <c r="C15">
        <v>0.4</v>
      </c>
      <c r="E15" t="s">
        <v>165</v>
      </c>
      <c r="F15">
        <v>8.3000000000000007</v>
      </c>
      <c r="G15">
        <v>0.6</v>
      </c>
    </row>
    <row r="16" spans="1:8" x14ac:dyDescent="0.2">
      <c r="A16" t="s">
        <v>154</v>
      </c>
      <c r="B16">
        <v>68</v>
      </c>
      <c r="C16">
        <v>3</v>
      </c>
      <c r="E16" t="s">
        <v>22</v>
      </c>
      <c r="F16">
        <v>68.599999999999994</v>
      </c>
      <c r="G16">
        <v>2.2999999999999998</v>
      </c>
    </row>
    <row r="17" spans="1:8" x14ac:dyDescent="0.2">
      <c r="A17" t="s">
        <v>44</v>
      </c>
      <c r="B17">
        <v>16</v>
      </c>
      <c r="C17">
        <v>1</v>
      </c>
      <c r="E17" t="s">
        <v>56</v>
      </c>
      <c r="F17">
        <v>13</v>
      </c>
      <c r="G17">
        <v>1</v>
      </c>
    </row>
    <row r="18" spans="1:8" x14ac:dyDescent="0.2">
      <c r="A18" t="s">
        <v>50</v>
      </c>
      <c r="B18">
        <v>17</v>
      </c>
      <c r="C18">
        <v>2</v>
      </c>
      <c r="E18" t="s">
        <v>18</v>
      </c>
      <c r="F18">
        <v>658</v>
      </c>
      <c r="G18">
        <v>17</v>
      </c>
    </row>
    <row r="19" spans="1:8" x14ac:dyDescent="0.2">
      <c r="A19" t="s">
        <v>40</v>
      </c>
      <c r="B19">
        <v>53</v>
      </c>
      <c r="C19">
        <v>4</v>
      </c>
      <c r="E19" t="s">
        <v>24</v>
      </c>
      <c r="F19">
        <v>6.1</v>
      </c>
      <c r="G19">
        <v>0.6</v>
      </c>
    </row>
    <row r="20" spans="1:8" x14ac:dyDescent="0.2">
      <c r="A20" t="s">
        <v>182</v>
      </c>
      <c r="B20">
        <v>3.6</v>
      </c>
      <c r="C20">
        <v>0.2</v>
      </c>
      <c r="E20" t="s">
        <v>20</v>
      </c>
      <c r="F20">
        <v>1.88</v>
      </c>
      <c r="G20">
        <v>0.16</v>
      </c>
    </row>
    <row r="21" spans="1:8" x14ac:dyDescent="0.2">
      <c r="A21" t="s">
        <v>156</v>
      </c>
      <c r="B21">
        <v>20</v>
      </c>
      <c r="C21">
        <v>1</v>
      </c>
      <c r="E21" t="s">
        <v>52</v>
      </c>
      <c r="F21">
        <v>120</v>
      </c>
      <c r="G21">
        <v>5</v>
      </c>
      <c r="H21">
        <f>F21/10^4</f>
        <v>1.2E-2</v>
      </c>
    </row>
    <row r="22" spans="1:8" x14ac:dyDescent="0.2">
      <c r="A22" t="s">
        <v>159</v>
      </c>
      <c r="B22">
        <v>38</v>
      </c>
      <c r="C22">
        <v>1</v>
      </c>
      <c r="E22" t="s">
        <v>158</v>
      </c>
      <c r="F22">
        <v>20</v>
      </c>
      <c r="G22">
        <v>1</v>
      </c>
    </row>
    <row r="23" spans="1:8" x14ac:dyDescent="0.2">
      <c r="A23" t="s">
        <v>48</v>
      </c>
      <c r="B23">
        <v>770</v>
      </c>
      <c r="C23">
        <v>20</v>
      </c>
      <c r="E23" t="s">
        <v>160</v>
      </c>
      <c r="F23">
        <v>1.6</v>
      </c>
      <c r="G23">
        <v>0.2</v>
      </c>
    </row>
    <row r="24" spans="1:8" x14ac:dyDescent="0.2">
      <c r="A24" t="s">
        <v>82</v>
      </c>
      <c r="B24">
        <v>15</v>
      </c>
      <c r="C24">
        <v>1</v>
      </c>
      <c r="E24" t="s">
        <v>36</v>
      </c>
      <c r="F24">
        <v>86</v>
      </c>
      <c r="G24">
        <v>8</v>
      </c>
    </row>
    <row r="25" spans="1:8" x14ac:dyDescent="0.2">
      <c r="A25" t="s">
        <v>161</v>
      </c>
      <c r="B25">
        <v>30</v>
      </c>
      <c r="C25">
        <v>2</v>
      </c>
      <c r="E25" t="s">
        <v>16</v>
      </c>
      <c r="F25">
        <v>230</v>
      </c>
      <c r="G25">
        <v>4</v>
      </c>
    </row>
    <row r="26" spans="1:8" x14ac:dyDescent="0.2">
      <c r="A26" t="s">
        <v>42</v>
      </c>
      <c r="B26">
        <v>19</v>
      </c>
      <c r="C26">
        <v>3</v>
      </c>
    </row>
    <row r="27" spans="1:8" x14ac:dyDescent="0.2">
      <c r="A27" t="s">
        <v>162</v>
      </c>
    </row>
    <row r="28" spans="1:8" x14ac:dyDescent="0.2">
      <c r="A28" t="s">
        <v>138</v>
      </c>
      <c r="B28" t="s">
        <v>153</v>
      </c>
      <c r="C28" t="s">
        <v>140</v>
      </c>
      <c r="E28" t="s">
        <v>138</v>
      </c>
      <c r="F28" t="s">
        <v>153</v>
      </c>
      <c r="G28" t="s">
        <v>140</v>
      </c>
    </row>
    <row r="29" spans="1:8" x14ac:dyDescent="0.2">
      <c r="A29" t="s">
        <v>66</v>
      </c>
      <c r="B29">
        <v>1.1599999999999999</v>
      </c>
      <c r="C29">
        <v>0.08</v>
      </c>
      <c r="E29" t="s">
        <v>163</v>
      </c>
      <c r="F29">
        <v>0.25</v>
      </c>
      <c r="G29">
        <v>0.01</v>
      </c>
    </row>
    <row r="30" spans="1:8" x14ac:dyDescent="0.2">
      <c r="A30" t="s">
        <v>183</v>
      </c>
      <c r="B30">
        <v>1.79</v>
      </c>
      <c r="C30">
        <v>0.11</v>
      </c>
      <c r="E30" t="s">
        <v>70</v>
      </c>
      <c r="F30">
        <v>0.6</v>
      </c>
    </row>
    <row r="31" spans="1:8" x14ac:dyDescent="0.2">
      <c r="A31" t="s">
        <v>155</v>
      </c>
      <c r="B31">
        <v>1.54</v>
      </c>
      <c r="C31">
        <v>0.1</v>
      </c>
      <c r="E31" t="s">
        <v>166</v>
      </c>
      <c r="F31">
        <v>5.7</v>
      </c>
      <c r="G31">
        <v>0.3</v>
      </c>
    </row>
    <row r="32" spans="1:8" x14ac:dyDescent="0.2">
      <c r="A32" t="s">
        <v>164</v>
      </c>
      <c r="B32">
        <v>440</v>
      </c>
      <c r="E32" t="s">
        <v>72</v>
      </c>
      <c r="F32">
        <v>2.2999999999999998</v>
      </c>
      <c r="G32">
        <v>0.4</v>
      </c>
    </row>
    <row r="33" spans="1:7" x14ac:dyDescent="0.2">
      <c r="A33" t="s">
        <v>157</v>
      </c>
      <c r="B33">
        <v>4.6900000000000004</v>
      </c>
      <c r="C33">
        <v>0.26</v>
      </c>
      <c r="E33" t="s">
        <v>88</v>
      </c>
      <c r="F33">
        <v>0.89</v>
      </c>
      <c r="G33">
        <v>0.08</v>
      </c>
    </row>
    <row r="34" spans="1:7" x14ac:dyDescent="0.2">
      <c r="A34" t="s">
        <v>90</v>
      </c>
      <c r="B34">
        <v>5.08</v>
      </c>
      <c r="C34">
        <v>0.2</v>
      </c>
      <c r="E34" t="s">
        <v>168</v>
      </c>
      <c r="F34">
        <v>0.64</v>
      </c>
      <c r="G34">
        <v>0.04</v>
      </c>
    </row>
    <row r="35" spans="1:7" x14ac:dyDescent="0.2">
      <c r="A35" t="s">
        <v>167</v>
      </c>
      <c r="B35">
        <v>0.71</v>
      </c>
      <c r="C35">
        <v>0.08</v>
      </c>
      <c r="E35" t="s">
        <v>184</v>
      </c>
      <c r="F35">
        <v>0.27</v>
      </c>
    </row>
    <row r="36" spans="1:7" x14ac:dyDescent="0.2">
      <c r="A36" t="s">
        <v>169</v>
      </c>
      <c r="B36">
        <v>11</v>
      </c>
      <c r="E36" t="s">
        <v>170</v>
      </c>
      <c r="F36">
        <v>0.26</v>
      </c>
      <c r="G36">
        <v>0.02</v>
      </c>
    </row>
    <row r="37" spans="1:7" x14ac:dyDescent="0.2">
      <c r="A37" t="s">
        <v>138</v>
      </c>
      <c r="B37" t="s">
        <v>171</v>
      </c>
      <c r="C37" t="s">
        <v>140</v>
      </c>
      <c r="D37" t="s">
        <v>172</v>
      </c>
    </row>
    <row r="38" spans="1:7" x14ac:dyDescent="0.2">
      <c r="A38" t="s">
        <v>173</v>
      </c>
      <c r="B38">
        <v>18.864000000000001</v>
      </c>
      <c r="C38">
        <v>7.0000000000000001E-3</v>
      </c>
      <c r="D38">
        <v>1</v>
      </c>
    </row>
    <row r="39" spans="1:7" x14ac:dyDescent="0.2">
      <c r="A39" t="s">
        <v>174</v>
      </c>
      <c r="B39">
        <v>15.609</v>
      </c>
      <c r="C39">
        <v>6.0000000000000001E-3</v>
      </c>
      <c r="D39">
        <v>1</v>
      </c>
    </row>
    <row r="40" spans="1:7" x14ac:dyDescent="0.2">
      <c r="A40" t="s">
        <v>175</v>
      </c>
      <c r="B40">
        <v>38.511000000000003</v>
      </c>
      <c r="C40">
        <v>0.02</v>
      </c>
      <c r="D40">
        <v>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21"/>
  <sheetViews>
    <sheetView workbookViewId="0">
      <selection activeCell="H4" sqref="H4"/>
    </sheetView>
  </sheetViews>
  <sheetFormatPr baseColWidth="10" defaultColWidth="8.83203125" defaultRowHeight="15" x14ac:dyDescent="0.2"/>
  <cols>
    <col min="4" max="4" width="14.6640625" customWidth="1"/>
  </cols>
  <sheetData>
    <row r="1" spans="1:14" x14ac:dyDescent="0.2">
      <c r="A1" t="s">
        <v>187</v>
      </c>
      <c r="D1" t="s">
        <v>190</v>
      </c>
    </row>
    <row r="2" spans="1:14" x14ac:dyDescent="0.2">
      <c r="A2" t="s">
        <v>179</v>
      </c>
    </row>
    <row r="3" spans="1:14" x14ac:dyDescent="0.2">
      <c r="A3" t="s">
        <v>141</v>
      </c>
      <c r="B3" t="s">
        <v>139</v>
      </c>
      <c r="C3" t="s">
        <v>140</v>
      </c>
      <c r="D3" t="s">
        <v>252</v>
      </c>
      <c r="E3" t="s">
        <v>141</v>
      </c>
      <c r="F3" t="s">
        <v>139</v>
      </c>
      <c r="G3" t="s">
        <v>140</v>
      </c>
    </row>
    <row r="4" spans="1:14" x14ac:dyDescent="0.2">
      <c r="A4" t="s">
        <v>151</v>
      </c>
      <c r="B4">
        <v>13.9</v>
      </c>
      <c r="C4">
        <v>3.4000000000000002E-2</v>
      </c>
      <c r="D4">
        <f>B4*0.4674</f>
        <v>6.4968599999999999</v>
      </c>
      <c r="E4" t="s">
        <v>188</v>
      </c>
      <c r="F4">
        <v>37.6</v>
      </c>
      <c r="G4">
        <v>0.1</v>
      </c>
      <c r="H4">
        <f>F4*0.7745</f>
        <v>29.121199999999998</v>
      </c>
    </row>
    <row r="5" spans="1:14" x14ac:dyDescent="0.2">
      <c r="A5" t="s">
        <v>142</v>
      </c>
      <c r="B5">
        <v>4.8</v>
      </c>
      <c r="C5">
        <v>9.1999999999999998E-2</v>
      </c>
      <c r="D5">
        <f>B5*0.5292</f>
        <v>2.5401599999999998</v>
      </c>
      <c r="E5" t="s">
        <v>149</v>
      </c>
      <c r="F5">
        <v>2.2000000000000002</v>
      </c>
      <c r="G5">
        <v>6.0000000000000001E-3</v>
      </c>
    </row>
    <row r="6" spans="1:14" x14ac:dyDescent="0.2">
      <c r="A6" t="s">
        <v>189</v>
      </c>
      <c r="B6">
        <v>8.3000000000000007</v>
      </c>
      <c r="C6">
        <v>4.3999999999999997E-2</v>
      </c>
      <c r="D6">
        <f>B6*0.6994</f>
        <v>5.8050200000000007</v>
      </c>
      <c r="E6" t="s">
        <v>146</v>
      </c>
      <c r="F6">
        <v>1.2</v>
      </c>
      <c r="G6">
        <v>1.4E-2</v>
      </c>
      <c r="H6">
        <f>F6*0.8301</f>
        <v>0.99611999999999989</v>
      </c>
    </row>
    <row r="7" spans="1:14" x14ac:dyDescent="0.2">
      <c r="A7" t="s">
        <v>143</v>
      </c>
      <c r="B7">
        <v>3.1</v>
      </c>
      <c r="C7">
        <v>1.6E-2</v>
      </c>
      <c r="D7">
        <f>B7*0.7147</f>
        <v>2.21557</v>
      </c>
      <c r="E7" t="s">
        <v>152</v>
      </c>
      <c r="F7">
        <v>0.5</v>
      </c>
      <c r="G7">
        <v>3.0000000000000001E-3</v>
      </c>
      <c r="H7">
        <f>F7*0.5994</f>
        <v>0.29970000000000002</v>
      </c>
      <c r="I7" t="s">
        <v>94</v>
      </c>
      <c r="J7" t="s">
        <v>310</v>
      </c>
      <c r="K7" t="s">
        <v>351</v>
      </c>
      <c r="L7" t="s">
        <v>319</v>
      </c>
      <c r="M7" t="s">
        <v>352</v>
      </c>
      <c r="N7" t="s">
        <v>353</v>
      </c>
    </row>
    <row r="8" spans="1:14" x14ac:dyDescent="0.2">
      <c r="A8" t="s">
        <v>147</v>
      </c>
      <c r="B8">
        <v>3.3</v>
      </c>
      <c r="C8">
        <v>1.4E-2</v>
      </c>
      <c r="D8">
        <f>B8*0.603</f>
        <v>1.9898999999999998</v>
      </c>
      <c r="E8" t="s">
        <v>150</v>
      </c>
      <c r="F8">
        <v>0.46</v>
      </c>
      <c r="G8">
        <v>5.0000000000000001E-3</v>
      </c>
      <c r="H8">
        <f>F8*N8</f>
        <v>0.20075633598683243</v>
      </c>
      <c r="I8" s="26">
        <v>30.973761998000001</v>
      </c>
      <c r="J8">
        <v>15.999000000000001</v>
      </c>
      <c r="K8">
        <f>I8*2</f>
        <v>61.947523996000001</v>
      </c>
      <c r="L8">
        <f>J8*5</f>
        <v>79.995000000000005</v>
      </c>
      <c r="M8">
        <f>L8+K8</f>
        <v>141.94252399600001</v>
      </c>
      <c r="N8">
        <f>K8/M8</f>
        <v>0.43642681736267919</v>
      </c>
    </row>
    <row r="9" spans="1:14" x14ac:dyDescent="0.2">
      <c r="A9" t="s">
        <v>138</v>
      </c>
      <c r="B9" t="s">
        <v>153</v>
      </c>
      <c r="C9" t="s">
        <v>140</v>
      </c>
      <c r="E9" t="s">
        <v>138</v>
      </c>
      <c r="F9" t="s">
        <v>153</v>
      </c>
      <c r="G9" t="s">
        <v>140</v>
      </c>
    </row>
    <row r="10" spans="1:14" x14ac:dyDescent="0.2">
      <c r="A10" t="s">
        <v>64</v>
      </c>
      <c r="B10">
        <v>3350</v>
      </c>
      <c r="C10">
        <v>28</v>
      </c>
      <c r="E10" t="s">
        <v>26</v>
      </c>
      <c r="F10">
        <v>560</v>
      </c>
      <c r="G10">
        <v>6</v>
      </c>
    </row>
    <row r="11" spans="1:14" x14ac:dyDescent="0.2">
      <c r="A11" t="s">
        <v>44</v>
      </c>
      <c r="B11">
        <v>2240</v>
      </c>
      <c r="C11">
        <v>11</v>
      </c>
      <c r="E11" t="s">
        <v>18</v>
      </c>
      <c r="F11">
        <v>680</v>
      </c>
      <c r="G11">
        <v>3</v>
      </c>
    </row>
    <row r="12" spans="1:14" x14ac:dyDescent="0.2">
      <c r="A12" t="s">
        <v>40</v>
      </c>
      <c r="B12">
        <v>11500</v>
      </c>
      <c r="C12">
        <v>49</v>
      </c>
      <c r="E12" t="s">
        <v>52</v>
      </c>
      <c r="F12">
        <v>570</v>
      </c>
      <c r="G12">
        <v>10</v>
      </c>
    </row>
    <row r="13" spans="1:14" x14ac:dyDescent="0.2">
      <c r="A13" t="s">
        <v>14</v>
      </c>
      <c r="B13">
        <v>760</v>
      </c>
      <c r="C13">
        <v>4</v>
      </c>
      <c r="E13" t="s">
        <v>36</v>
      </c>
      <c r="F13">
        <v>1600</v>
      </c>
      <c r="G13">
        <v>6</v>
      </c>
    </row>
    <row r="14" spans="1:14" x14ac:dyDescent="0.2">
      <c r="A14" t="s">
        <v>42</v>
      </c>
      <c r="B14">
        <v>13400</v>
      </c>
      <c r="C14">
        <v>64</v>
      </c>
    </row>
    <row r="15" spans="1:14" x14ac:dyDescent="0.2">
      <c r="A15" t="s">
        <v>162</v>
      </c>
    </row>
    <row r="16" spans="1:14" x14ac:dyDescent="0.2">
      <c r="A16" t="s">
        <v>138</v>
      </c>
      <c r="B16" t="s">
        <v>153</v>
      </c>
      <c r="D16" t="s">
        <v>138</v>
      </c>
      <c r="E16" t="s">
        <v>153</v>
      </c>
    </row>
    <row r="17" spans="1:5" x14ac:dyDescent="0.2">
      <c r="A17" t="s">
        <v>154</v>
      </c>
      <c r="B17">
        <v>290</v>
      </c>
      <c r="D17" t="s">
        <v>159</v>
      </c>
      <c r="E17">
        <v>104</v>
      </c>
    </row>
    <row r="18" spans="1:5" x14ac:dyDescent="0.2">
      <c r="A18" t="s">
        <v>182</v>
      </c>
      <c r="B18">
        <v>27</v>
      </c>
      <c r="D18" t="s">
        <v>163</v>
      </c>
      <c r="E18">
        <v>1.8</v>
      </c>
    </row>
    <row r="19" spans="1:5" x14ac:dyDescent="0.2">
      <c r="A19" t="s">
        <v>183</v>
      </c>
      <c r="B19">
        <v>12</v>
      </c>
      <c r="D19" t="s">
        <v>161</v>
      </c>
      <c r="E19">
        <v>120</v>
      </c>
    </row>
    <row r="20" spans="1:5" x14ac:dyDescent="0.2">
      <c r="A20" t="s">
        <v>155</v>
      </c>
      <c r="B20">
        <v>7.5</v>
      </c>
      <c r="D20" t="s">
        <v>166</v>
      </c>
      <c r="E20">
        <v>30</v>
      </c>
    </row>
    <row r="21" spans="1:5" x14ac:dyDescent="0.2">
      <c r="A21" t="s">
        <v>157</v>
      </c>
      <c r="B21">
        <v>28</v>
      </c>
      <c r="D21" t="s">
        <v>160</v>
      </c>
      <c r="E21">
        <v>13</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61"/>
  <sheetViews>
    <sheetView topLeftCell="A2" workbookViewId="0">
      <selection activeCell="E1" sqref="E1"/>
    </sheetView>
  </sheetViews>
  <sheetFormatPr baseColWidth="10" defaultColWidth="8.83203125" defaultRowHeight="15" x14ac:dyDescent="0.2"/>
  <sheetData>
    <row r="1" spans="1:19" x14ac:dyDescent="0.2">
      <c r="A1" t="s">
        <v>141</v>
      </c>
      <c r="B1" t="s">
        <v>194</v>
      </c>
      <c r="C1" t="s">
        <v>195</v>
      </c>
      <c r="D1" t="s">
        <v>252</v>
      </c>
      <c r="E1" t="s">
        <v>203</v>
      </c>
    </row>
    <row r="2" spans="1:19" x14ac:dyDescent="0.2">
      <c r="A2" t="s">
        <v>151</v>
      </c>
      <c r="B2">
        <v>47.64</v>
      </c>
      <c r="C2">
        <v>8.6999999999999994E-2</v>
      </c>
      <c r="D2">
        <f>B2*0.4674</f>
        <v>22.266936000000001</v>
      </c>
      <c r="F2" t="s">
        <v>311</v>
      </c>
    </row>
    <row r="3" spans="1:19" x14ac:dyDescent="0.2">
      <c r="A3" t="s">
        <v>142</v>
      </c>
      <c r="B3">
        <v>21</v>
      </c>
      <c r="C3">
        <v>0.04</v>
      </c>
      <c r="D3">
        <f>B3*0.5292</f>
        <v>11.113200000000001</v>
      </c>
      <c r="F3" t="s">
        <v>46</v>
      </c>
      <c r="G3" t="s">
        <v>310</v>
      </c>
    </row>
    <row r="4" spans="1:19" x14ac:dyDescent="0.2">
      <c r="A4" t="s">
        <v>196</v>
      </c>
      <c r="B4">
        <v>9.7100000000000009</v>
      </c>
      <c r="C4">
        <v>0.02</v>
      </c>
      <c r="D4">
        <f>B4*0.6994</f>
        <v>6.7911740000000007</v>
      </c>
      <c r="F4">
        <v>55.844999999999999</v>
      </c>
      <c r="G4">
        <v>15.999000000000001</v>
      </c>
    </row>
    <row r="5" spans="1:19" x14ac:dyDescent="0.2">
      <c r="A5" t="s">
        <v>143</v>
      </c>
      <c r="B5">
        <v>2.95</v>
      </c>
      <c r="C5">
        <v>0.01</v>
      </c>
      <c r="D5">
        <f>B5*0.7147</f>
        <v>2.108365</v>
      </c>
    </row>
    <row r="6" spans="1:19" x14ac:dyDescent="0.2">
      <c r="A6" t="s">
        <v>147</v>
      </c>
      <c r="B6">
        <v>2.6</v>
      </c>
      <c r="C6">
        <v>0.01</v>
      </c>
      <c r="D6">
        <f>B6*0.603</f>
        <v>1.5678000000000001</v>
      </c>
    </row>
    <row r="7" spans="1:19" x14ac:dyDescent="0.2">
      <c r="A7" t="s">
        <v>146</v>
      </c>
      <c r="B7">
        <v>3.45</v>
      </c>
      <c r="C7">
        <v>0.01</v>
      </c>
      <c r="D7">
        <f>B7*0.8301</f>
        <v>2.863845</v>
      </c>
      <c r="G7" s="50" t="s">
        <v>312</v>
      </c>
      <c r="H7" s="50"/>
      <c r="I7" s="50"/>
      <c r="J7" s="50"/>
      <c r="K7" s="50"/>
      <c r="L7" s="50"/>
      <c r="M7" s="50"/>
      <c r="N7" s="50"/>
      <c r="O7" s="50"/>
      <c r="P7" s="50"/>
      <c r="Q7" s="50"/>
      <c r="R7" s="50"/>
      <c r="S7" s="50"/>
    </row>
    <row r="8" spans="1:19" x14ac:dyDescent="0.2">
      <c r="A8" t="s">
        <v>149</v>
      </c>
      <c r="B8" t="s">
        <v>202</v>
      </c>
      <c r="G8" s="50"/>
      <c r="H8" s="50"/>
      <c r="I8" s="50"/>
      <c r="J8" s="50"/>
      <c r="K8" s="50"/>
      <c r="L8" s="50"/>
      <c r="M8" s="50"/>
      <c r="N8" s="50"/>
      <c r="O8" s="50"/>
      <c r="P8" s="50"/>
      <c r="Q8" s="50"/>
      <c r="R8" s="50"/>
      <c r="S8" s="50"/>
    </row>
    <row r="9" spans="1:19" x14ac:dyDescent="0.2">
      <c r="A9" t="s">
        <v>188</v>
      </c>
      <c r="B9">
        <v>0.15</v>
      </c>
      <c r="C9">
        <v>1E-3</v>
      </c>
      <c r="D9">
        <f>B9*0.7745</f>
        <v>0.11617499999999999</v>
      </c>
      <c r="G9" s="50"/>
      <c r="H9" s="50"/>
      <c r="I9" s="50"/>
      <c r="J9" s="50"/>
      <c r="K9" s="50"/>
      <c r="L9" s="50"/>
      <c r="M9" s="50"/>
      <c r="N9" s="50"/>
      <c r="O9" s="50"/>
      <c r="P9" s="50"/>
      <c r="Q9" s="50"/>
      <c r="R9" s="50"/>
      <c r="S9" s="50"/>
    </row>
    <row r="10" spans="1:19" x14ac:dyDescent="0.2">
      <c r="A10" t="s">
        <v>150</v>
      </c>
      <c r="B10">
        <v>0.37</v>
      </c>
      <c r="C10">
        <v>2E-3</v>
      </c>
      <c r="D10">
        <f>B10*E10</f>
        <v>0.16147792242419123</v>
      </c>
      <c r="E10">
        <v>0.43642681736267902</v>
      </c>
      <c r="G10" s="50"/>
      <c r="H10" s="50"/>
      <c r="I10" s="50"/>
      <c r="J10" s="50"/>
      <c r="K10" s="50"/>
      <c r="L10" s="50"/>
      <c r="M10" s="50"/>
      <c r="N10" s="50"/>
      <c r="O10" s="50"/>
      <c r="P10" s="50"/>
      <c r="Q10" s="50"/>
      <c r="R10" s="50"/>
      <c r="S10" s="50"/>
    </row>
    <row r="11" spans="1:19" x14ac:dyDescent="0.2">
      <c r="A11" t="s">
        <v>152</v>
      </c>
      <c r="B11">
        <v>0.85499999999999998</v>
      </c>
      <c r="C11">
        <v>3.0000000000000001E-3</v>
      </c>
      <c r="D11">
        <f>B11*0.5994</f>
        <v>0.51248700000000003</v>
      </c>
      <c r="G11" s="50"/>
      <c r="H11" s="50"/>
      <c r="I11" s="50"/>
      <c r="J11" s="50"/>
      <c r="K11" s="50"/>
      <c r="L11" s="50"/>
      <c r="M11" s="50"/>
      <c r="N11" s="50"/>
      <c r="O11" s="50"/>
      <c r="P11" s="50"/>
      <c r="Q11" s="50"/>
      <c r="R11" s="50"/>
      <c r="S11" s="50"/>
    </row>
    <row r="12" spans="1:19" x14ac:dyDescent="0.2">
      <c r="A12" t="s">
        <v>197</v>
      </c>
      <c r="B12">
        <v>0.71499999999999997</v>
      </c>
      <c r="C12">
        <v>8.0000000000000002E-3</v>
      </c>
      <c r="G12" s="50"/>
      <c r="H12" s="50"/>
      <c r="I12" s="50"/>
      <c r="J12" s="50"/>
      <c r="K12" s="50"/>
      <c r="L12" s="50"/>
      <c r="M12" s="50"/>
      <c r="N12" s="50"/>
      <c r="O12" s="50"/>
      <c r="P12" s="50"/>
      <c r="Q12" s="50"/>
      <c r="R12" s="50"/>
      <c r="S12" s="50"/>
    </row>
    <row r="13" spans="1:19" x14ac:dyDescent="0.2">
      <c r="A13" t="s">
        <v>198</v>
      </c>
      <c r="B13">
        <v>2.08</v>
      </c>
      <c r="C13">
        <v>0.02</v>
      </c>
      <c r="G13" s="50"/>
      <c r="H13" s="50"/>
      <c r="I13" s="50"/>
      <c r="J13" s="50"/>
      <c r="K13" s="50"/>
      <c r="L13" s="50"/>
      <c r="M13" s="50"/>
      <c r="N13" s="50"/>
      <c r="O13" s="50"/>
      <c r="P13" s="50"/>
      <c r="Q13" s="50"/>
      <c r="R13" s="50"/>
      <c r="S13" s="50"/>
    </row>
    <row r="14" spans="1:19" x14ac:dyDescent="0.2">
      <c r="A14" t="s">
        <v>199</v>
      </c>
      <c r="B14">
        <v>0.85</v>
      </c>
      <c r="C14">
        <v>0.01</v>
      </c>
      <c r="G14" s="50"/>
      <c r="H14" s="50"/>
      <c r="I14" s="50"/>
      <c r="J14" s="50"/>
      <c r="K14" s="50"/>
      <c r="L14" s="50"/>
      <c r="M14" s="50"/>
      <c r="N14" s="50"/>
      <c r="O14" s="50"/>
      <c r="P14" s="50"/>
      <c r="Q14" s="50"/>
      <c r="R14" s="50"/>
      <c r="S14" s="50"/>
    </row>
    <row r="15" spans="1:19" x14ac:dyDescent="0.2">
      <c r="A15" t="s">
        <v>200</v>
      </c>
      <c r="B15">
        <v>1.23</v>
      </c>
      <c r="C15">
        <v>0.02</v>
      </c>
      <c r="G15" s="50"/>
      <c r="H15" s="50"/>
      <c r="I15" s="50"/>
      <c r="J15" s="50"/>
      <c r="K15" s="50"/>
      <c r="L15" s="50"/>
      <c r="M15" s="50"/>
      <c r="N15" s="50"/>
      <c r="O15" s="50"/>
      <c r="P15" s="50"/>
      <c r="Q15" s="50"/>
      <c r="R15" s="50"/>
      <c r="S15" s="50"/>
    </row>
    <row r="16" spans="1:19" x14ac:dyDescent="0.2">
      <c r="A16" t="s">
        <v>201</v>
      </c>
      <c r="B16">
        <v>10.199999999999999</v>
      </c>
      <c r="C16">
        <v>0.08</v>
      </c>
      <c r="G16" s="50"/>
      <c r="H16" s="50"/>
      <c r="I16" s="50"/>
      <c r="J16" s="50"/>
      <c r="K16" s="50"/>
      <c r="L16" s="50"/>
      <c r="M16" s="50"/>
      <c r="N16" s="50"/>
      <c r="O16" s="50"/>
      <c r="P16" s="50"/>
      <c r="Q16" s="50"/>
      <c r="R16" s="50"/>
      <c r="S16" s="50"/>
    </row>
    <row r="17" spans="1:19" x14ac:dyDescent="0.2">
      <c r="A17" t="s">
        <v>138</v>
      </c>
      <c r="B17" t="s">
        <v>204</v>
      </c>
      <c r="C17" t="s">
        <v>195</v>
      </c>
      <c r="G17" s="50"/>
      <c r="H17" s="50"/>
      <c r="I17" s="50"/>
      <c r="J17" s="50"/>
      <c r="K17" s="50"/>
      <c r="L17" s="50"/>
      <c r="M17" s="50"/>
      <c r="N17" s="50"/>
      <c r="O17" s="50"/>
      <c r="P17" s="50"/>
      <c r="Q17" s="50"/>
      <c r="R17" s="50"/>
      <c r="S17" s="50"/>
    </row>
    <row r="18" spans="1:19" x14ac:dyDescent="0.2">
      <c r="A18" t="s">
        <v>32</v>
      </c>
      <c r="B18">
        <v>25.7</v>
      </c>
      <c r="C18">
        <v>0.7</v>
      </c>
      <c r="G18" s="50"/>
      <c r="H18" s="50"/>
      <c r="I18" s="50"/>
      <c r="J18" s="50"/>
      <c r="K18" s="50"/>
      <c r="L18" s="50"/>
      <c r="M18" s="50"/>
      <c r="N18" s="50"/>
      <c r="O18" s="50"/>
      <c r="P18" s="50"/>
      <c r="Q18" s="50"/>
      <c r="R18" s="50"/>
      <c r="S18" s="50"/>
    </row>
    <row r="19" spans="1:19" x14ac:dyDescent="0.2">
      <c r="A19" t="s">
        <v>64</v>
      </c>
      <c r="B19">
        <v>788</v>
      </c>
      <c r="C19">
        <v>7.7</v>
      </c>
    </row>
    <row r="20" spans="1:19" x14ac:dyDescent="0.2">
      <c r="A20" t="s">
        <v>181</v>
      </c>
      <c r="B20">
        <v>3.2</v>
      </c>
      <c r="C20">
        <v>0.08</v>
      </c>
    </row>
    <row r="21" spans="1:19" x14ac:dyDescent="0.2">
      <c r="A21" t="s">
        <v>84</v>
      </c>
      <c r="B21">
        <v>0.7</v>
      </c>
      <c r="C21">
        <v>0.02</v>
      </c>
    </row>
    <row r="22" spans="1:19" x14ac:dyDescent="0.2">
      <c r="A22" t="s">
        <v>74</v>
      </c>
      <c r="B22">
        <v>0.4</v>
      </c>
      <c r="C22">
        <v>0.02</v>
      </c>
    </row>
    <row r="23" spans="1:19" x14ac:dyDescent="0.2">
      <c r="A23" t="s">
        <v>154</v>
      </c>
      <c r="B23">
        <v>108</v>
      </c>
      <c r="C23">
        <v>0.9</v>
      </c>
    </row>
    <row r="24" spans="1:19" x14ac:dyDescent="0.2">
      <c r="A24" t="s">
        <v>44</v>
      </c>
      <c r="B24">
        <v>22.7</v>
      </c>
      <c r="C24">
        <v>0.3</v>
      </c>
    </row>
    <row r="25" spans="1:19" x14ac:dyDescent="0.2">
      <c r="A25" t="s">
        <v>50</v>
      </c>
      <c r="B25">
        <v>109</v>
      </c>
      <c r="C25">
        <v>1</v>
      </c>
    </row>
    <row r="26" spans="1:19" x14ac:dyDescent="0.2">
      <c r="A26" t="s">
        <v>66</v>
      </c>
      <c r="B26">
        <v>8.1999999999999993</v>
      </c>
      <c r="C26">
        <v>0.1</v>
      </c>
    </row>
    <row r="27" spans="1:19" x14ac:dyDescent="0.2">
      <c r="A27" t="s">
        <v>40</v>
      </c>
      <c r="B27">
        <v>31</v>
      </c>
      <c r="C27">
        <v>0.6</v>
      </c>
    </row>
    <row r="28" spans="1:19" x14ac:dyDescent="0.2">
      <c r="A28" t="s">
        <v>182</v>
      </c>
      <c r="B28">
        <v>7.1</v>
      </c>
      <c r="C28">
        <v>0.09</v>
      </c>
    </row>
    <row r="29" spans="1:19" x14ac:dyDescent="0.2">
      <c r="A29" t="s">
        <v>183</v>
      </c>
      <c r="B29">
        <v>3.8</v>
      </c>
      <c r="C29">
        <v>0.05</v>
      </c>
    </row>
    <row r="30" spans="1:19" x14ac:dyDescent="0.2">
      <c r="A30" t="s">
        <v>155</v>
      </c>
      <c r="B30">
        <v>1.98</v>
      </c>
      <c r="C30">
        <v>0.02</v>
      </c>
    </row>
    <row r="31" spans="1:19" x14ac:dyDescent="0.2">
      <c r="A31" t="s">
        <v>156</v>
      </c>
      <c r="B31">
        <v>27</v>
      </c>
      <c r="C31">
        <v>0.3</v>
      </c>
    </row>
    <row r="32" spans="1:19" x14ac:dyDescent="0.2">
      <c r="A32" t="s">
        <v>157</v>
      </c>
      <c r="B32">
        <v>8.5</v>
      </c>
      <c r="C32">
        <v>0.1</v>
      </c>
    </row>
    <row r="33" spans="1:3" x14ac:dyDescent="0.2">
      <c r="A33" t="s">
        <v>90</v>
      </c>
      <c r="B33">
        <v>3.7</v>
      </c>
      <c r="C33">
        <v>0.1</v>
      </c>
    </row>
    <row r="34" spans="1:3" x14ac:dyDescent="0.2">
      <c r="A34" t="s">
        <v>167</v>
      </c>
      <c r="B34">
        <v>1.4</v>
      </c>
      <c r="C34">
        <v>0.02</v>
      </c>
    </row>
    <row r="35" spans="1:3" x14ac:dyDescent="0.2">
      <c r="A35" t="s">
        <v>159</v>
      </c>
      <c r="B35">
        <v>52.5</v>
      </c>
      <c r="C35">
        <v>0.6</v>
      </c>
    </row>
    <row r="36" spans="1:3" x14ac:dyDescent="0.2">
      <c r="A36" t="s">
        <v>169</v>
      </c>
      <c r="B36">
        <v>163</v>
      </c>
      <c r="C36">
        <v>2.5</v>
      </c>
    </row>
    <row r="37" spans="1:3" x14ac:dyDescent="0.2">
      <c r="A37" t="s">
        <v>163</v>
      </c>
      <c r="B37">
        <v>0.54</v>
      </c>
      <c r="C37">
        <v>0.01</v>
      </c>
    </row>
    <row r="38" spans="1:3" x14ac:dyDescent="0.2">
      <c r="A38" t="s">
        <v>14</v>
      </c>
      <c r="B38">
        <v>2.4</v>
      </c>
      <c r="C38">
        <v>7.0000000000000007E-2</v>
      </c>
    </row>
    <row r="39" spans="1:3" x14ac:dyDescent="0.2">
      <c r="A39" t="s">
        <v>82</v>
      </c>
      <c r="B39">
        <v>15.3</v>
      </c>
      <c r="C39">
        <v>0.2</v>
      </c>
    </row>
    <row r="40" spans="1:3" x14ac:dyDescent="0.2">
      <c r="A40" t="s">
        <v>161</v>
      </c>
      <c r="B40">
        <v>49.2</v>
      </c>
      <c r="C40">
        <v>0.5</v>
      </c>
    </row>
    <row r="41" spans="1:3" x14ac:dyDescent="0.2">
      <c r="A41" t="s">
        <v>42</v>
      </c>
      <c r="B41">
        <v>82.8</v>
      </c>
      <c r="C41">
        <v>0.8</v>
      </c>
    </row>
    <row r="42" spans="1:3" x14ac:dyDescent="0.2">
      <c r="A42" t="s">
        <v>26</v>
      </c>
      <c r="B42">
        <v>35</v>
      </c>
      <c r="C42">
        <v>0.3</v>
      </c>
    </row>
    <row r="43" spans="1:3" x14ac:dyDescent="0.2">
      <c r="A43" t="s">
        <v>165</v>
      </c>
      <c r="B43">
        <v>12.6</v>
      </c>
      <c r="C43">
        <v>0.1</v>
      </c>
    </row>
    <row r="44" spans="1:3" x14ac:dyDescent="0.2">
      <c r="A44" t="s">
        <v>22</v>
      </c>
      <c r="B44">
        <v>147</v>
      </c>
      <c r="C44">
        <v>1</v>
      </c>
    </row>
    <row r="45" spans="1:3" x14ac:dyDescent="0.2">
      <c r="A45" t="s">
        <v>70</v>
      </c>
      <c r="B45">
        <v>1.01</v>
      </c>
      <c r="C45">
        <v>0.03</v>
      </c>
    </row>
    <row r="46" spans="1:3" x14ac:dyDescent="0.2">
      <c r="A46" t="s">
        <v>56</v>
      </c>
      <c r="B46">
        <v>20</v>
      </c>
      <c r="C46">
        <v>0.2</v>
      </c>
    </row>
    <row r="47" spans="1:3" x14ac:dyDescent="0.2">
      <c r="A47" t="s">
        <v>166</v>
      </c>
      <c r="B47">
        <v>9.6</v>
      </c>
      <c r="C47">
        <v>0.1</v>
      </c>
    </row>
    <row r="48" spans="1:3" x14ac:dyDescent="0.2">
      <c r="A48" t="s">
        <v>72</v>
      </c>
      <c r="B48">
        <v>3.3</v>
      </c>
      <c r="C48">
        <v>0.1</v>
      </c>
    </row>
    <row r="49" spans="1:3" x14ac:dyDescent="0.2">
      <c r="A49" t="s">
        <v>18</v>
      </c>
      <c r="B49">
        <v>178</v>
      </c>
      <c r="C49">
        <v>1.4</v>
      </c>
    </row>
    <row r="50" spans="1:3" x14ac:dyDescent="0.2">
      <c r="A50" t="s">
        <v>88</v>
      </c>
      <c r="B50">
        <v>1.1000000000000001</v>
      </c>
      <c r="C50">
        <v>0.03</v>
      </c>
    </row>
    <row r="51" spans="1:3" x14ac:dyDescent="0.2">
      <c r="A51" t="s">
        <v>168</v>
      </c>
      <c r="B51">
        <v>1.2</v>
      </c>
      <c r="C51">
        <v>0.02</v>
      </c>
    </row>
    <row r="52" spans="1:3" x14ac:dyDescent="0.2">
      <c r="A52" t="s">
        <v>24</v>
      </c>
      <c r="B52">
        <v>15.8</v>
      </c>
      <c r="C52">
        <v>0.2</v>
      </c>
    </row>
    <row r="53" spans="1:3" x14ac:dyDescent="0.2">
      <c r="A53" t="s">
        <v>184</v>
      </c>
      <c r="B53">
        <v>0.89</v>
      </c>
      <c r="C53">
        <v>0.01</v>
      </c>
    </row>
    <row r="54" spans="1:3" x14ac:dyDescent="0.2">
      <c r="A54" t="s">
        <v>170</v>
      </c>
      <c r="B54">
        <v>0.56000000000000005</v>
      </c>
      <c r="C54">
        <v>0.01</v>
      </c>
    </row>
    <row r="55" spans="1:3" x14ac:dyDescent="0.2">
      <c r="A55" t="s">
        <v>20</v>
      </c>
      <c r="B55">
        <v>5.76</v>
      </c>
      <c r="C55">
        <v>0.11</v>
      </c>
    </row>
    <row r="56" spans="1:3" x14ac:dyDescent="0.2">
      <c r="A56" t="s">
        <v>52</v>
      </c>
      <c r="B56">
        <v>220</v>
      </c>
      <c r="C56">
        <v>1.4</v>
      </c>
    </row>
    <row r="57" spans="1:3" x14ac:dyDescent="0.2">
      <c r="A57" t="s">
        <v>38</v>
      </c>
      <c r="B57">
        <v>1.6</v>
      </c>
      <c r="C57">
        <v>0.05</v>
      </c>
    </row>
    <row r="58" spans="1:3" x14ac:dyDescent="0.2">
      <c r="A58" t="s">
        <v>158</v>
      </c>
      <c r="B58">
        <v>36.5</v>
      </c>
      <c r="C58">
        <v>0.3</v>
      </c>
    </row>
    <row r="59" spans="1:3" x14ac:dyDescent="0.2">
      <c r="A59" t="s">
        <v>160</v>
      </c>
      <c r="B59">
        <v>3.64</v>
      </c>
      <c r="C59">
        <v>0.04</v>
      </c>
    </row>
    <row r="60" spans="1:3" x14ac:dyDescent="0.2">
      <c r="A60" t="s">
        <v>36</v>
      </c>
      <c r="B60">
        <v>186</v>
      </c>
      <c r="C60">
        <v>1.7</v>
      </c>
    </row>
    <row r="61" spans="1:3" x14ac:dyDescent="0.2">
      <c r="A61" t="s">
        <v>16</v>
      </c>
      <c r="B61">
        <v>134</v>
      </c>
      <c r="C61">
        <v>1.6</v>
      </c>
    </row>
  </sheetData>
  <mergeCells count="1">
    <mergeCell ref="G7:S1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26"/>
  <sheetViews>
    <sheetView topLeftCell="C19" workbookViewId="0">
      <selection activeCell="I25" sqref="I25"/>
    </sheetView>
  </sheetViews>
  <sheetFormatPr baseColWidth="10" defaultColWidth="8.83203125" defaultRowHeight="15" x14ac:dyDescent="0.2"/>
  <sheetData>
    <row r="1" spans="1:19" x14ac:dyDescent="0.2">
      <c r="A1" s="2" t="s">
        <v>205</v>
      </c>
      <c r="C1" t="s">
        <v>206</v>
      </c>
    </row>
    <row r="2" spans="1:19" x14ac:dyDescent="0.2">
      <c r="A2" t="s">
        <v>179</v>
      </c>
    </row>
    <row r="3" spans="1:19" x14ac:dyDescent="0.2">
      <c r="A3" t="s">
        <v>141</v>
      </c>
      <c r="B3" t="s">
        <v>139</v>
      </c>
      <c r="C3" t="s">
        <v>140</v>
      </c>
      <c r="E3" t="s">
        <v>252</v>
      </c>
      <c r="F3" t="s">
        <v>141</v>
      </c>
      <c r="G3" t="s">
        <v>139</v>
      </c>
      <c r="H3" t="s">
        <v>140</v>
      </c>
    </row>
    <row r="4" spans="1:19" x14ac:dyDescent="0.2">
      <c r="A4" t="s">
        <v>151</v>
      </c>
      <c r="B4">
        <v>65.8</v>
      </c>
      <c r="C4">
        <v>0.43</v>
      </c>
      <c r="D4">
        <f>B4*0.4674</f>
        <v>30.754919999999998</v>
      </c>
      <c r="E4">
        <f>B4*0.4674</f>
        <v>30.754919999999998</v>
      </c>
      <c r="F4" t="s">
        <v>149</v>
      </c>
      <c r="G4">
        <v>2.0499999999999998</v>
      </c>
      <c r="H4">
        <v>0.09</v>
      </c>
    </row>
    <row r="5" spans="1:19" x14ac:dyDescent="0.2">
      <c r="A5" t="s">
        <v>142</v>
      </c>
      <c r="B5">
        <v>15.8</v>
      </c>
      <c r="C5">
        <v>0.34</v>
      </c>
      <c r="D5">
        <f>B5*0.5292</f>
        <v>8.3613600000000012</v>
      </c>
      <c r="F5" t="s">
        <v>146</v>
      </c>
      <c r="G5">
        <v>3.28</v>
      </c>
      <c r="H5">
        <v>0.1</v>
      </c>
      <c r="I5">
        <f>G5*0.8301</f>
        <v>2.7227279999999996</v>
      </c>
    </row>
    <row r="6" spans="1:19" x14ac:dyDescent="0.2">
      <c r="A6" t="s">
        <v>180</v>
      </c>
      <c r="B6">
        <v>2.62</v>
      </c>
      <c r="C6">
        <v>0.15</v>
      </c>
      <c r="D6">
        <f>B6*0.6994</f>
        <v>1.8324280000000002</v>
      </c>
      <c r="F6" t="s">
        <v>152</v>
      </c>
      <c r="G6">
        <v>1.01</v>
      </c>
      <c r="H6">
        <v>0.04</v>
      </c>
      <c r="I6">
        <f>G6*0.5994</f>
        <v>0.6053940000000001</v>
      </c>
    </row>
    <row r="7" spans="1:19" x14ac:dyDescent="0.2">
      <c r="A7" t="s">
        <v>207</v>
      </c>
      <c r="B7">
        <v>3.93</v>
      </c>
      <c r="C7">
        <v>0.15</v>
      </c>
      <c r="D7">
        <f>B7*0.7773</f>
        <v>3.054789</v>
      </c>
      <c r="F7" t="s">
        <v>143</v>
      </c>
      <c r="G7">
        <v>1.4</v>
      </c>
      <c r="H7">
        <v>7.0000000000000007E-2</v>
      </c>
      <c r="I7">
        <f>G7*0.7147</f>
        <v>1.00058</v>
      </c>
      <c r="M7" t="s">
        <v>316</v>
      </c>
    </row>
    <row r="8" spans="1:19" x14ac:dyDescent="0.2">
      <c r="A8" t="s">
        <v>196</v>
      </c>
      <c r="B8">
        <v>6.32</v>
      </c>
      <c r="C8">
        <v>0.23</v>
      </c>
      <c r="D8">
        <f>B8*0.6994</f>
        <v>4.4202080000000006</v>
      </c>
      <c r="F8" t="s">
        <v>147</v>
      </c>
      <c r="G8">
        <v>1.69</v>
      </c>
      <c r="H8">
        <v>0.1</v>
      </c>
      <c r="I8">
        <f>G8*0.603</f>
        <v>1.0190699999999999</v>
      </c>
      <c r="M8" t="s">
        <v>94</v>
      </c>
      <c r="N8" t="s">
        <v>317</v>
      </c>
      <c r="O8" t="s">
        <v>318</v>
      </c>
      <c r="P8" t="s">
        <v>319</v>
      </c>
      <c r="Q8" t="s">
        <v>320</v>
      </c>
      <c r="R8" t="s">
        <v>321</v>
      </c>
      <c r="S8" t="s">
        <v>322</v>
      </c>
    </row>
    <row r="9" spans="1:19" x14ac:dyDescent="0.2">
      <c r="F9" t="s">
        <v>150</v>
      </c>
      <c r="G9">
        <v>0.16</v>
      </c>
      <c r="H9">
        <v>2.5000000000000001E-2</v>
      </c>
      <c r="I9">
        <f>G9*0.436426817362679</f>
        <v>6.9828290778028643E-2</v>
      </c>
      <c r="M9">
        <v>30.973761998000001</v>
      </c>
      <c r="N9">
        <f>(15.99903 + 15.99977)/2</f>
        <v>15.9994</v>
      </c>
      <c r="O9">
        <f>M9*2</f>
        <v>61.947523996000001</v>
      </c>
      <c r="P9">
        <f>N9*5</f>
        <v>79.997</v>
      </c>
      <c r="Q9">
        <f>P9+O9</f>
        <v>141.94452399599999</v>
      </c>
      <c r="R9">
        <f>O9/Q9</f>
        <v>0.43642066810372826</v>
      </c>
      <c r="S9">
        <f>P9/Q9</f>
        <v>0.56357933189627185</v>
      </c>
    </row>
    <row r="10" spans="1:19" x14ac:dyDescent="0.2">
      <c r="A10" t="s">
        <v>138</v>
      </c>
      <c r="B10" t="s">
        <v>153</v>
      </c>
      <c r="C10" t="s">
        <v>140</v>
      </c>
      <c r="E10" t="s">
        <v>138</v>
      </c>
      <c r="F10" t="s">
        <v>153</v>
      </c>
      <c r="G10" t="s">
        <v>140</v>
      </c>
      <c r="I10" t="s">
        <v>138</v>
      </c>
      <c r="J10" t="s">
        <v>153</v>
      </c>
      <c r="K10" t="s">
        <v>140</v>
      </c>
      <c r="R10">
        <v>0.43642066810372798</v>
      </c>
    </row>
    <row r="11" spans="1:19" x14ac:dyDescent="0.2">
      <c r="A11" t="s">
        <v>32</v>
      </c>
      <c r="B11">
        <v>0.22</v>
      </c>
      <c r="C11">
        <v>0.01</v>
      </c>
      <c r="E11" t="s">
        <v>156</v>
      </c>
      <c r="F11">
        <v>21</v>
      </c>
      <c r="G11">
        <v>1.4</v>
      </c>
      <c r="I11" t="s">
        <v>56</v>
      </c>
      <c r="J11">
        <v>17</v>
      </c>
      <c r="K11">
        <v>2</v>
      </c>
    </row>
    <row r="12" spans="1:19" x14ac:dyDescent="0.2">
      <c r="A12" t="s">
        <v>64</v>
      </c>
      <c r="B12">
        <v>630</v>
      </c>
      <c r="C12">
        <v>60</v>
      </c>
      <c r="E12" t="s">
        <v>157</v>
      </c>
      <c r="F12">
        <v>7</v>
      </c>
      <c r="G12">
        <v>0.4</v>
      </c>
      <c r="I12" t="s">
        <v>166</v>
      </c>
      <c r="J12">
        <v>8.1999999999999993</v>
      </c>
      <c r="K12">
        <v>0.5</v>
      </c>
    </row>
    <row r="13" spans="1:19" x14ac:dyDescent="0.2">
      <c r="A13" t="s">
        <v>181</v>
      </c>
      <c r="B13">
        <v>3</v>
      </c>
      <c r="C13">
        <v>0.5</v>
      </c>
      <c r="E13" t="s">
        <v>90</v>
      </c>
      <c r="F13">
        <v>8.3000000000000007</v>
      </c>
      <c r="G13">
        <v>0.2</v>
      </c>
      <c r="I13" t="s">
        <v>72</v>
      </c>
      <c r="J13">
        <v>3</v>
      </c>
      <c r="K13">
        <v>0.2</v>
      </c>
    </row>
    <row r="14" spans="1:19" x14ac:dyDescent="0.2">
      <c r="A14" t="s">
        <v>154</v>
      </c>
      <c r="B14">
        <v>93</v>
      </c>
      <c r="C14">
        <v>7</v>
      </c>
      <c r="E14" t="s">
        <v>159</v>
      </c>
      <c r="F14">
        <v>42</v>
      </c>
      <c r="G14">
        <v>3</v>
      </c>
      <c r="I14" t="s">
        <v>18</v>
      </c>
      <c r="J14">
        <v>180</v>
      </c>
      <c r="K14">
        <v>9</v>
      </c>
    </row>
    <row r="15" spans="1:19" x14ac:dyDescent="0.2">
      <c r="A15" t="s">
        <v>44</v>
      </c>
      <c r="B15">
        <v>18</v>
      </c>
      <c r="C15">
        <v>1</v>
      </c>
      <c r="E15" t="s">
        <v>169</v>
      </c>
      <c r="F15">
        <v>34</v>
      </c>
      <c r="G15">
        <v>3</v>
      </c>
      <c r="I15" t="s">
        <v>24</v>
      </c>
      <c r="J15">
        <v>12</v>
      </c>
      <c r="K15">
        <v>0.9</v>
      </c>
    </row>
    <row r="16" spans="1:19" x14ac:dyDescent="0.2">
      <c r="A16" t="s">
        <v>50</v>
      </c>
      <c r="B16">
        <v>64</v>
      </c>
      <c r="C16">
        <v>7</v>
      </c>
      <c r="E16" t="s">
        <v>48</v>
      </c>
      <c r="F16">
        <v>880</v>
      </c>
      <c r="G16">
        <v>60</v>
      </c>
      <c r="I16" t="s">
        <v>20</v>
      </c>
      <c r="J16">
        <v>3.1</v>
      </c>
      <c r="K16">
        <v>0.2</v>
      </c>
    </row>
    <row r="17" spans="1:11" x14ac:dyDescent="0.2">
      <c r="A17" t="s">
        <v>66</v>
      </c>
      <c r="B17">
        <v>4</v>
      </c>
      <c r="C17">
        <v>0.2</v>
      </c>
      <c r="E17" t="s">
        <v>161</v>
      </c>
      <c r="F17">
        <v>40</v>
      </c>
      <c r="G17">
        <v>4</v>
      </c>
      <c r="I17" t="s">
        <v>52</v>
      </c>
      <c r="J17">
        <v>102</v>
      </c>
      <c r="K17">
        <v>12</v>
      </c>
    </row>
    <row r="18" spans="1:11" x14ac:dyDescent="0.2">
      <c r="A18" t="s">
        <v>40</v>
      </c>
      <c r="B18">
        <v>30</v>
      </c>
      <c r="C18">
        <v>3</v>
      </c>
      <c r="E18" t="s">
        <v>26</v>
      </c>
      <c r="F18">
        <v>25</v>
      </c>
      <c r="G18">
        <v>2</v>
      </c>
      <c r="I18" t="s">
        <v>36</v>
      </c>
      <c r="J18">
        <v>103</v>
      </c>
      <c r="K18">
        <v>8</v>
      </c>
    </row>
    <row r="19" spans="1:11" x14ac:dyDescent="0.2">
      <c r="A19" t="s">
        <v>164</v>
      </c>
      <c r="B19">
        <v>600</v>
      </c>
      <c r="C19">
        <v>30</v>
      </c>
      <c r="E19" t="s">
        <v>22</v>
      </c>
      <c r="F19">
        <v>127</v>
      </c>
      <c r="G19">
        <v>7</v>
      </c>
      <c r="I19" t="s">
        <v>16</v>
      </c>
      <c r="J19">
        <v>290</v>
      </c>
      <c r="K19">
        <v>30</v>
      </c>
    </row>
    <row r="20" spans="1:11" x14ac:dyDescent="0.2">
      <c r="E20" t="s">
        <v>70</v>
      </c>
      <c r="F20">
        <v>0.54</v>
      </c>
      <c r="G20">
        <v>0.05</v>
      </c>
    </row>
    <row r="21" spans="1:11" x14ac:dyDescent="0.2">
      <c r="A21" t="s">
        <v>138</v>
      </c>
      <c r="B21" t="s">
        <v>153</v>
      </c>
      <c r="D21" t="s">
        <v>138</v>
      </c>
      <c r="E21" t="s">
        <v>153</v>
      </c>
      <c r="G21" t="s">
        <v>138</v>
      </c>
      <c r="H21" t="s">
        <v>153</v>
      </c>
    </row>
    <row r="22" spans="1:11" x14ac:dyDescent="0.2">
      <c r="A22" t="s">
        <v>208</v>
      </c>
      <c r="B22">
        <v>13</v>
      </c>
      <c r="D22" t="s">
        <v>34</v>
      </c>
      <c r="E22">
        <v>0.2</v>
      </c>
      <c r="G22" t="s">
        <v>168</v>
      </c>
      <c r="H22">
        <v>1.2</v>
      </c>
    </row>
    <row r="23" spans="1:11" x14ac:dyDescent="0.2">
      <c r="A23" t="s">
        <v>98</v>
      </c>
      <c r="B23">
        <v>32</v>
      </c>
      <c r="D23" t="s">
        <v>167</v>
      </c>
      <c r="E23">
        <v>1.5</v>
      </c>
      <c r="G23" t="s">
        <v>184</v>
      </c>
      <c r="H23">
        <v>0.7</v>
      </c>
    </row>
    <row r="24" spans="1:11" x14ac:dyDescent="0.2">
      <c r="A24" t="s">
        <v>182</v>
      </c>
      <c r="B24">
        <v>6.7</v>
      </c>
      <c r="D24" t="s">
        <v>82</v>
      </c>
      <c r="E24">
        <v>21</v>
      </c>
      <c r="G24" t="s">
        <v>170</v>
      </c>
      <c r="H24">
        <v>0.65</v>
      </c>
    </row>
    <row r="25" spans="1:11" x14ac:dyDescent="0.2">
      <c r="A25" t="s">
        <v>183</v>
      </c>
      <c r="B25">
        <v>4.0999999999999996</v>
      </c>
      <c r="D25" t="s">
        <v>42</v>
      </c>
      <c r="E25">
        <v>38</v>
      </c>
      <c r="G25" t="s">
        <v>38</v>
      </c>
      <c r="H25">
        <v>0.8</v>
      </c>
    </row>
    <row r="26" spans="1:11" x14ac:dyDescent="0.2">
      <c r="A26" t="s">
        <v>155</v>
      </c>
      <c r="B26">
        <v>1.7</v>
      </c>
      <c r="D26" t="s">
        <v>88</v>
      </c>
      <c r="E26">
        <v>1.2</v>
      </c>
      <c r="G26" t="s">
        <v>160</v>
      </c>
      <c r="H26">
        <v>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46</vt:i4>
      </vt:variant>
    </vt:vector>
  </HeadingPairs>
  <TitlesOfParts>
    <vt:vector size="46" baseType="lpstr">
      <vt:lpstr>Standard Data</vt:lpstr>
      <vt:lpstr>BCR-2</vt:lpstr>
      <vt:lpstr>StandardsPXRFbox</vt:lpstr>
      <vt:lpstr>TypeStandardization</vt:lpstr>
      <vt:lpstr>GSP-2</vt:lpstr>
      <vt:lpstr>AGV-2</vt:lpstr>
      <vt:lpstr>NOD-P-1</vt:lpstr>
      <vt:lpstr>SBC-1</vt:lpstr>
      <vt:lpstr>SDC-1</vt:lpstr>
      <vt:lpstr>SARM USGS</vt:lpstr>
      <vt:lpstr>2709a</vt:lpstr>
      <vt:lpstr>RCRA</vt:lpstr>
      <vt:lpstr>Till-4</vt:lpstr>
      <vt:lpstr>NIST</vt:lpstr>
      <vt:lpstr>Standard_Testing_3242015</vt:lpstr>
      <vt:lpstr>Magnesium</vt:lpstr>
      <vt:lpstr>Sulfur</vt:lpstr>
      <vt:lpstr>Scandium</vt:lpstr>
      <vt:lpstr>Chromium</vt:lpstr>
      <vt:lpstr>Barium</vt:lpstr>
      <vt:lpstr>Strontium</vt:lpstr>
      <vt:lpstr>GEOSUITE_TEST </vt:lpstr>
      <vt:lpstr>Aluminum</vt:lpstr>
      <vt:lpstr>Arsenic</vt:lpstr>
      <vt:lpstr>Nickel</vt:lpstr>
      <vt:lpstr>Copper</vt:lpstr>
      <vt:lpstr>Elements</vt:lpstr>
      <vt:lpstr>Iron</vt:lpstr>
      <vt:lpstr>Sheet2</vt:lpstr>
      <vt:lpstr>Sheet3</vt:lpstr>
      <vt:lpstr>Sheet4</vt:lpstr>
      <vt:lpstr>Sheet5</vt:lpstr>
      <vt:lpstr>Sheet6</vt:lpstr>
      <vt:lpstr>Sheet7</vt:lpstr>
      <vt:lpstr>Zinc</vt:lpstr>
      <vt:lpstr>Phosphorous</vt:lpstr>
      <vt:lpstr>Niobium</vt:lpstr>
      <vt:lpstr>Vanadium</vt:lpstr>
      <vt:lpstr>Calcium</vt:lpstr>
      <vt:lpstr>Potassium</vt:lpstr>
      <vt:lpstr>Manganese</vt:lpstr>
      <vt:lpstr>Silica_</vt:lpstr>
      <vt:lpstr>Lead</vt:lpstr>
      <vt:lpstr>Thorium</vt:lpstr>
      <vt:lpstr>Titanium</vt:lpstr>
      <vt:lpstr>Zirconium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Nick Fox</dc:creator>
  <cp:lastModifiedBy>Mogk, David</cp:lastModifiedBy>
  <dcterms:created xsi:type="dcterms:W3CDTF">2015-03-27T18:12:45Z</dcterms:created>
  <dcterms:modified xsi:type="dcterms:W3CDTF">2024-06-18T21:37:50Z</dcterms:modified>
</cp:coreProperties>
</file>